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tes par module" sheetId="1" r:id="rId3"/>
    <sheet state="visible" name="Calculs nouvelles caracs monstr" sheetId="2" r:id="rId4"/>
    <sheet state="visible" name="Calculs monstres sur import git" sheetId="3" r:id="rId5"/>
    <sheet state="visible" name="Import git" sheetId="4" r:id="rId6"/>
    <sheet state="visible" name="Caractéristiques ajustées - not" sheetId="5" r:id="rId7"/>
    <sheet state="visible" name="Caractéristiques initiales" sheetId="6" r:id="rId8"/>
    <sheet state="visible" name="Import Wikia" sheetId="7" r:id="rId9"/>
    <sheet state="visible" name="Liste Monstres Mountyhall - tri" sheetId="8" r:id="rId10"/>
    <sheet state="visible" name="Liste Monstres Mountyhall" sheetId="9" r:id="rId11"/>
  </sheets>
  <definedNames/>
  <calcPr/>
</workbook>
</file>

<file path=xl/sharedStrings.xml><?xml version="1.0" encoding="utf-8"?>
<sst xmlns="http://schemas.openxmlformats.org/spreadsheetml/2006/main" count="3340" uniqueCount="755">
  <si>
    <t>Module</t>
  </si>
  <si>
    <t>Génériques?</t>
  </si>
  <si>
    <t>Goblinoïdes</t>
  </si>
  <si>
    <t>Draconiques</t>
  </si>
  <si>
    <t>Morts-Vivants</t>
  </si>
  <si>
    <t>Chaotiques</t>
  </si>
  <si>
    <t>Drows</t>
  </si>
  <si>
    <t>?</t>
  </si>
  <si>
    <t>Monstre L1</t>
  </si>
  <si>
    <t>Gobelin</t>
  </si>
  <si>
    <t>Squelette
Zombie</t>
  </si>
  <si>
    <t>Araignées géantes</t>
  </si>
  <si>
    <t>Monstre L2</t>
  </si>
  <si>
    <t>Orc</t>
  </si>
  <si>
    <t>Momie</t>
  </si>
  <si>
    <t>Monstre L3</t>
  </si>
  <si>
    <t>Ogre</t>
  </si>
  <si>
    <t>Loup-garou</t>
  </si>
  <si>
    <t>Monstre L4</t>
  </si>
  <si>
    <t>Spectre</t>
  </si>
  <si>
    <t>Sorcière</t>
  </si>
  <si>
    <t>Monstre L5</t>
  </si>
  <si>
    <t>Monstre L6</t>
  </si>
  <si>
    <t>Nécromant
Vampire</t>
  </si>
  <si>
    <t>Chevalier du chaos</t>
  </si>
  <si>
    <t>Golem</t>
  </si>
  <si>
    <t>Objets</t>
  </si>
  <si>
    <t>Potions de soin</t>
  </si>
  <si>
    <t>Torche</t>
  </si>
  <si>
    <t>Masse</t>
  </si>
  <si>
    <t>Épée argentée</t>
  </si>
  <si>
    <t>Trésors</t>
  </si>
  <si>
    <t>Pièces d'or</t>
  </si>
  <si>
    <t>Gemme</t>
  </si>
  <si>
    <t>Anneau</t>
  </si>
  <si>
    <t>Bâton magique</t>
  </si>
  <si>
    <t>Collier</t>
  </si>
  <si>
    <t>Rencontre</t>
  </si>
  <si>
    <t>Druidesse</t>
  </si>
  <si>
    <t>Fosse</t>
  </si>
  <si>
    <t>Moine</t>
  </si>
  <si>
    <t>Gladiateur</t>
  </si>
  <si>
    <t>Coffre piégé</t>
  </si>
  <si>
    <t>Aventuriers</t>
  </si>
  <si>
    <t>Kouna la barbare</t>
  </si>
  <si>
    <t>Gorkin le nain</t>
  </si>
  <si>
    <t>Lothar le guerrier</t>
  </si>
  <si>
    <t>Vorn l'arbalétrier</t>
  </si>
  <si>
    <t>Eliona l'archère</t>
  </si>
  <si>
    <t>Fiona la duelliste</t>
  </si>
  <si>
    <t>bonus att</t>
  </si>
  <si>
    <t>bonus def</t>
  </si>
  <si>
    <t>bonus PV</t>
  </si>
  <si>
    <t>att tot</t>
  </si>
  <si>
    <t>id</t>
  </si>
  <si>
    <t>class</t>
  </si>
  <si>
    <t>pix</t>
  </si>
  <si>
    <t>Nom</t>
  </si>
  <si>
    <t>#</t>
  </si>
  <si>
    <t>niv</t>
  </si>
  <si>
    <t>niv_salle</t>
  </si>
  <si>
    <t>att</t>
  </si>
  <si>
    <t>d_a</t>
  </si>
  <si>
    <t>def</t>
  </si>
  <si>
    <t>PV</t>
  </si>
  <si>
    <t>con</t>
  </si>
  <si>
    <t>esprit</t>
  </si>
  <si>
    <t>type</t>
  </si>
  <si>
    <t>value</t>
  </si>
  <si>
    <t>special</t>
  </si>
  <si>
    <t>fluff</t>
  </si>
  <si>
    <t>monster</t>
  </si>
  <si>
    <t>spider</t>
  </si>
  <si>
    <t>Araignée géante</t>
  </si>
  <si>
    <t>1</t>
  </si>
  <si>
    <t>monstre</t>
  </si>
  <si>
    <t>&lt;u&gt;Poison&lt;/u&gt;: 1 dégât automatique</t>
  </si>
  <si>
    <t>Les araignées géantes résident généralement dans les souterrains ou les endroits humides. Elles se promènent sur les murs et au plafond et lancent des jets de venin si on s'attarde trop à leur proximité. Il ne s'agit pas d'un ennemi extrêmement dangereux, mais son venin peut empoisonner.</t>
  </si>
  <si>
    <t>goblin</t>
  </si>
  <si>
    <t>def tot</t>
  </si>
  <si>
    <t>Les gobelins sont des humanoïdes de petite taille et chétifs vec des membres grêles, une poitrine large, un cou épais et de grandes oreilles pointues. Ils ont des cheveux bruns ou roux et des yeux sombres. Ils peuvent voir dans le noir. Ils vivent en tribus de quelques centaines d'individus dans des tunnels peu profonds et relativement courts.</t>
  </si>
  <si>
    <t>skeleton</t>
  </si>
  <si>
    <t>Squelette</t>
  </si>
  <si>
    <t>1-2</t>
  </si>
  <si>
    <t>monstre, mort-vivant</t>
  </si>
  <si>
    <t>&lt;u&gt;Décharné&lt;/u&gt;: Encaisse 1 dégât supplémentaire si arme 'de choc', 1 contre tout autre type d'arme&lt;br&gt;&lt;u&gt;Mort-vivant&lt;/u&gt;: Encaisse 1 dégât supplémentaire si arme argentée</t>
  </si>
  <si>
    <t>Un squelette est un mort-vivant qui a perdu toute sa chair putréfiée, ses os se maintenant par la magie ou autre phénomène surnaturel. Ce sont des combattants facilement invoqués par les clercs. Leur absence de chair est un avantage car ils sont peu sensibles aux armes blanches ou à pointes.</t>
  </si>
  <si>
    <t>zombie</t>
  </si>
  <si>
    <t>Zombie</t>
  </si>
  <si>
    <t>&lt;u&gt;Mort-vivant&lt;/u&gt;: Encaisse 1 dégât supplémentaire si arme argentée&lt;br&gt;&lt;u&gt;Main de mort&lt;/u&gt;: Inflige 1 dégât automatique</t>
  </si>
  <si>
    <t xml:space="preserve">Le zombi est un cadavre animé par magie noire. C'est un mort-vivant partiellement décomposé, dépourvu de langage, de raison et souvent de conscience, qui survit en se nourrissant de la chair humaine des vivants. </t>
  </si>
  <si>
    <t>orc</t>
  </si>
  <si>
    <t>2-3</t>
  </si>
  <si>
    <t>&lt;u&gt;Trésor&lt;/u&gt;: Bouclier (+1 en défense), conservez cette carte après l'avoir éliminée</t>
  </si>
  <si>
    <t>Les orques sont des humanoïdes monstrueux de taille moyenne. La majorité ont une peau grisâtre, un front bas et très incliné, un visage porcin, une mâchoire imposante et des canines semblables à des défenses de sanglier. Leur pilosité hyper-développée est rêche, leurs oreilles sont semblables à celles d’un loup et ils ont les yeux rouges.</t>
  </si>
  <si>
    <t>mummy</t>
  </si>
  <si>
    <t>&lt;u&gt;Mort-vivant&lt;/u&gt;: Encaisse 1 dégât supplémentaire si arme argentée&lt;br&gt;&lt;u&gt;Main de mort&lt;/u&gt;: Inflige 1 dégât automatique&lt;br&gt;&lt;u&gt;Malédiction&lt;/u&gt;: -1 permanent en attaque si vous arrivez à éliminer la carte (conservez-la)</t>
  </si>
  <si>
    <t>La momie est un cadavre embaumé et animé grâce à des rituels enseignés par d’anciens dieux du désert dont tout le monde a heureusement oublié le nom. Elle revient à la vie, le plus souvent au travers d'une malédiction qui se réalise.</t>
  </si>
  <si>
    <t>werewolf</t>
  </si>
  <si>
    <t>Loup-Garou</t>
  </si>
  <si>
    <t>3-4</t>
  </si>
  <si>
    <t>monstre, lycanthrope</t>
  </si>
  <si>
    <t>&lt;u&gt;Lycanthrope&lt;/u&gt;: Encaisse 1 dégât supplémentaire si arme argentée</t>
  </si>
  <si>
    <t>Un loup-garou est un humain qui a la capacité de se transformer, partiellement ou complètement, en loup, ou en créature anthropomorphe proche du loup. Il se transforme en loup énorme à chaque pleine lune. Les cadavres de loups-garous non détruits reviennent à la vie en tant que vampires.</t>
  </si>
  <si>
    <t>ogre</t>
  </si>
  <si>
    <t>Un ogre est une sorte de géant se nourrissant de chair fraîche et dévorant les petits enfants. Ce sont des brutes géantes, hirsutes, inintelligentes et cruelles.</t>
  </si>
  <si>
    <t>witch</t>
  </si>
  <si>
    <t>4-5</t>
  </si>
  <si>
    <t>X</t>
  </si>
  <si>
    <t>&lt;u&gt;Désintégration&lt;/u&gt;: Détruit 2 objets que vous transportez (choisis au hasard)&lt;br&gt;&lt;u&gt;Trésor&lt;/u&gt;: Potion de soin (+3 PV, usage unique), conservez cette carte après l'avoir éliminée</t>
  </si>
  <si>
    <t>La sorcellerie désigne la pratique d'une certaine forme de magie, dans laquelle le sorcier ou la sorcière travaille avec les énergies globales, que ce soit celles des plantes, des cycles lunaires, des saisons ou même des entités. Les sorcières sont réputées faire des repas cannibales d'enfants et utiliser des cadavres d'enfants pour préparer des poudres ou des onguents magiques.</t>
  </si>
  <si>
    <t>specter</t>
  </si>
  <si>
    <t>PV tot</t>
  </si>
  <si>
    <t>sp</t>
  </si>
  <si>
    <t>&lt;u&gt;Mort-vivant, immatériel&lt;/u&gt;: Encaisse 1 dégât, uniquement si arme argentée&lt;br&gt;&lt;u&gt;Toucher spectral&lt;/u&gt;: Inflige 2 dégâts automatiques&lt;br&gt;&lt;u&gt;Malédiction&lt;/u&gt;: -1 permanent en défense si vous arrivez à éliminer la carte, conservez cette carte après l'avoir éliminée</t>
  </si>
  <si>
    <t>Un spectre est le résidu immatériel d’un être intelligent qui, pour une raison ou une autre, ne peut quitter totalement le plan Matériel après son décès. La plupart du temps, les spectres ressemblent fortement à ce qu’ils étaient de leur vivant, mais il arrive que leur forme spirituelle soit plus ou moins altérée. Le spectre ressemble tellement à ce qu’il était de son vivant que quiconque le connaissait ou a vu son portrait le reconnaît. Bien souvent, son corps lumineux et semi- transparent porte les blessures qui ont causé sa perte. Le froid de la mort plane autour de lui et dans le lieu qu’il hante.</t>
  </si>
  <si>
    <t>chaos_knight</t>
  </si>
  <si>
    <t>6</t>
  </si>
  <si>
    <t>&lt;u&gt;Trésor&lt;/u&gt;: Épée démoniaque (+1 en attaque), conservez cette carte après l'avoir éliminée</t>
  </si>
  <si>
    <t>Les Chevaliers du Chaos sont des brutes immenses revêtues d'épaisses armures de plates, chaque élément de celles-ci étant forgé par un maître artisan démoniaque, tandis que leurs épées luisent d'un feu inquiétant. Un Chevalier du Chaos suit la voie de la damnation depuis des années et a mérité d'innombrables fois les faveurs des Dieux Sombres. Son casque cornu peut cacher un faciès orné d'un rictus sadique, révélant des crocs aiguisés, ou au contraire un visage angélique beau à couper le souffle. Rares cependant sont ceux à avoir pu voir un tel spectacle, car les malheureux qui entrevoient le visage d'un Chevalier du Chaos ne vivent pas assez longtemps pour en parler.</t>
  </si>
  <si>
    <t>golem</t>
  </si>
  <si>
    <t>Les golems sont de puissants automates créés par magie. Leur fabrication exige l’utilisation de sorts puissants et la maîtrise des forces élémentaires. Chaque golem est animé par un esprit originaire du plan de la Terre. Le processus de création lie l’esprit au corps artificiel et le fait passer sous la coupe du créateur du golem. Les golems sont des adversaires tenaces dotés d’une force inouïe.</t>
  </si>
  <si>
    <t>necromancer</t>
  </si>
  <si>
    <t>Nécromant</t>
  </si>
  <si>
    <t>&lt;u&gt;Main de mort&lt;/u&gt;: Inflige 1 dégât automatique</t>
  </si>
  <si>
    <t>Adepte des arts obscurs, le nécromant invoque les défunts, utilise le pouvoir des âmes disparues et absorbe l’essence vitale de ses ennemis. Il se repaît de cette force vitale, qui lui permet de ramener à la vie ses alliés à l’agonie, voire de se dérober à la mort elle-même.</t>
  </si>
  <si>
    <t>vampire</t>
  </si>
  <si>
    <t>Vampire</t>
  </si>
  <si>
    <t>&lt;u&gt;Mort-vivant&lt;/u&gt;: Encaisse 1 dégât supplémentaire si arme argentée&lt;br&gt;&lt;u&gt;Toucher spectral&lt;/u&gt;: Inflige 2 dégâts automatiques&lt;br&gt;&lt;u&gt;Vampire&lt;/u&gt;: Prend 2 dégâts automatique face à une torche utilisée comme arme.</t>
  </si>
  <si>
    <t>Le vampire est un mort-vivant se nourrit du sang des vivants afin d’en tirer sa force vitale. Ils craignent énormément le feu qui leur cause de gros dommages, et le soleil.</t>
  </si>
  <si>
    <t>item</t>
  </si>
  <si>
    <t>torch</t>
  </si>
  <si>
    <t>-</t>
  </si>
  <si>
    <t>2*</t>
  </si>
  <si>
    <t>objet, arme, feu</t>
  </si>
  <si>
    <t>(*) Efficace contre les vampires</t>
  </si>
  <si>
    <t>(fluff)</t>
  </si>
  <si>
    <t>silver</t>
  </si>
  <si>
    <t>+1*</t>
  </si>
  <si>
    <t>objet, argent</t>
  </si>
  <si>
    <t>(*) Efficace contre les morts-vivants et les lycanthropes</t>
  </si>
  <si>
    <t>mace</t>
  </si>
  <si>
    <t>Masse de combat</t>
  </si>
  <si>
    <t>objet, arme, choc</t>
  </si>
  <si>
    <t>(*) Efficace contre les squelettes</t>
  </si>
  <si>
    <t>18a</t>
  </si>
  <si>
    <t>heal1</t>
  </si>
  <si>
    <t>Potion de soin min</t>
  </si>
  <si>
    <t>+1</t>
  </si>
  <si>
    <t>objet, soin, usage unique</t>
  </si>
  <si>
    <t>+1 PV, défaussez après utilisation</t>
  </si>
  <si>
    <t>18b</t>
  </si>
  <si>
    <t>heal2</t>
  </si>
  <si>
    <t>Potion de soin</t>
  </si>
  <si>
    <t>+3</t>
  </si>
  <si>
    <t>+3 PV, défaussez après utilisation</t>
  </si>
  <si>
    <t>18c</t>
  </si>
  <si>
    <t>heal3</t>
  </si>
  <si>
    <t>Potion de soin sup</t>
  </si>
  <si>
    <t>5-6</t>
  </si>
  <si>
    <t>+5</t>
  </si>
  <si>
    <t>+5 PV, défaussez après utilisation</t>
  </si>
  <si>
    <t>treasure</t>
  </si>
  <si>
    <t>purse</t>
  </si>
  <si>
    <t>objet</t>
  </si>
  <si>
    <t>ring</t>
  </si>
  <si>
    <t>objet, magique</t>
  </si>
  <si>
    <t>Immunise contre la 'Main de mort'</t>
  </si>
  <si>
    <t>necklace</t>
  </si>
  <si>
    <t>staff</t>
  </si>
  <si>
    <t>5</t>
  </si>
  <si>
    <t>(*) 2 dégâts automatiques (en plus de l'arme) contre les morts-vivants</t>
  </si>
  <si>
    <t>gems</t>
  </si>
  <si>
    <t>Gemmes</t>
  </si>
  <si>
    <t>encounter</t>
  </si>
  <si>
    <t>pit</t>
  </si>
  <si>
    <t>2-4</t>
  </si>
  <si>
    <t>piège, objet</t>
  </si>
  <si>
    <t>Perdez 2 PV, puis conservez cette carte comme objet transporté&lt;br&gt;Vous trouvez une pièce au fond du trou</t>
  </si>
  <si>
    <t>gladiator</t>
  </si>
  <si>
    <t>+2</t>
  </si>
  <si>
    <t>allié, compétence</t>
  </si>
  <si>
    <t>Si vous le désirez, ce gladiateur peut vous enseigner son art du combat (+2 en attaque) moyennant un salaire de 2 pièces. Conservez cette carte si vous acceptez la proposition, sinon défaussez-la</t>
  </si>
  <si>
    <t>chest</t>
  </si>
  <si>
    <t>3-5</t>
  </si>
  <si>
    <t>Perdez 4 PV, puis conservez cette carte comme objet transporté&lt;br&gt;Vous trouvez 3 pièces dans le coffre</t>
  </si>
  <si>
    <t>monk</t>
  </si>
  <si>
    <t>Si vous le désirez, ce moine peut vous enseigner sa science de l'esquive (+2 en défense) moyennant un salaire de 4 pièces. Conservez cette carte si vous acceptez la proposition, sinon défaussez-la</t>
  </si>
  <si>
    <t>druid</t>
  </si>
  <si>
    <t>mx</t>
  </si>
  <si>
    <t>allié, soin</t>
  </si>
  <si>
    <t>Une jeune druidesse propose de vous soigner toutes vos blessures en échange d'une épée argentée, défaussez les 2 cartes si vous acceptez, défaussez uniquement cette carte sinon</t>
  </si>
  <si>
    <t>door</t>
  </si>
  <si>
    <t>door1</t>
  </si>
  <si>
    <t>Porte des bas-fonds</t>
  </si>
  <si>
    <t>1-&gt;3</t>
  </si>
  <si>
    <t>porte</t>
  </si>
  <si>
    <t>door2</t>
  </si>
  <si>
    <t>Porte des abysses</t>
  </si>
  <si>
    <t>1-&gt;4</t>
  </si>
  <si>
    <t>"force"</t>
  </si>
  <si>
    <t>door3</t>
  </si>
  <si>
    <t>Porte du donjon</t>
  </si>
  <si>
    <t>1-&gt;5</t>
  </si>
  <si>
    <t>door4</t>
  </si>
  <si>
    <t>Porte de la crypte</t>
  </si>
  <si>
    <t>1-&gt;6</t>
  </si>
  <si>
    <t>venturer</t>
  </si>
  <si>
    <t>warrior</t>
  </si>
  <si>
    <t>aventurier</t>
  </si>
  <si>
    <t>archer</t>
  </si>
  <si>
    <t>barbarian</t>
  </si>
  <si>
    <t>dwarf</t>
  </si>
  <si>
    <t>drow</t>
  </si>
  <si>
    <t>duelist</t>
  </si>
  <si>
    <t>"force comb"</t>
  </si>
  <si>
    <t>Analyse</t>
  </si>
  <si>
    <t>Nouv carac</t>
  </si>
  <si>
    <t>for</t>
  </si>
  <si>
    <t>dam</t>
  </si>
  <si>
    <t>niv salle</t>
  </si>
  <si>
    <t>niv org</t>
  </si>
  <si>
    <t>d.a</t>
  </si>
  <si>
    <t>Spécial</t>
  </si>
  <si>
    <t>*Aventurier*</t>
  </si>
  <si>
    <t>Goblin</t>
  </si>
  <si>
    <t>encaisse 1 dégât supplémentaire si arme argentée</t>
  </si>
  <si>
    <t>encaisse 1 dégât supplémentaire si arme argentée
inflige 1 dégât automatique (d.a)</t>
  </si>
  <si>
    <t>tours</t>
  </si>
  <si>
    <t>détruit tous les items (ou "n" items)</t>
  </si>
  <si>
    <t>encaisse 1 dégât, uniquement si arme argentée
inflige 2 dégâts automatiques (d.a)
"rapporte" une malédiction</t>
  </si>
  <si>
    <t>8/15/23/31</t>
  </si>
  <si>
    <t>inflige 1 dégât automatique (d.a)</t>
  </si>
  <si>
    <t>encaisse 1 dégât supplémentaire si arme argentée
inflige 2 dégâts automatiques (d.a)</t>
  </si>
  <si>
    <t>F=0-: PV-∞
F=1: PV-8
F=2: PV-4
F=3+: PV-2
F=7+: PV-1</t>
  </si>
  <si>
    <t>PV-8
F=2+: PV-4
F=4+: PV-2
F=6+: /</t>
  </si>
  <si>
    <t>PV perdus</t>
  </si>
  <si>
    <t>victoire</t>
  </si>
  <si>
    <t>level</t>
  </si>
  <si>
    <t>F=0-: PV-∞
F=1: PV-8
F=2+: PV-4
F=5+: /</t>
  </si>
  <si>
    <t>PV-8
F=2+: PV-4
F=5+: /</t>
  </si>
  <si>
    <t>F=0+: PV-4
F=3+: PV-1
F=5+: /</t>
  </si>
  <si>
    <t>PV-4
F=2+: PV-2
F=5+: /</t>
  </si>
  <si>
    <t>&lt;u&gt;Décharné&lt;/u&gt;: F+1 si arme 'de choc'&lt;br&gt;&lt;u&gt;Mort-vivant&lt;/u&gt;: F+1 si arme argentée</t>
  </si>
  <si>
    <t>F=0+: PV-4
F=3+: PV-2
F=5+: PV-1</t>
  </si>
  <si>
    <t>PV-4
F=3+: PV-2
F=5+: PV-1</t>
  </si>
  <si>
    <t>&lt;u&gt;Mort-vivant&lt;/u&gt;: F+1 si arme argentée&lt;br&gt;&lt;u&gt;Main de mort&lt;/u&gt;: Inflige 1 dégât automatique</t>
  </si>
  <si>
    <t>F=1-: PV-∞
F=2: PV-18
F=3: PV-9
F=4: PV-6
F=5: PV-2
F=6+: /</t>
  </si>
  <si>
    <t>PV=0
F=4: PV-6
F=5: PV-3
F=6+: /</t>
  </si>
  <si>
    <t>F=1-: PV-∞
F=2: PV-24
F=3: PV-16
F=4: PV-9
F=5: PV-8
F=6: PV-4
F=7+: PV-3
F=10+: PV-2</t>
  </si>
  <si>
    <t>PV=0
F=5: PV-8
F=6+: PV-4
Esprit: PV-1, Esprit-1</t>
  </si>
  <si>
    <t>&lt;u&gt;Mort-vivant&lt;/u&gt;: F+1 si arme argentée&lt;br&gt;&lt;u&gt;Main de mort&lt;/u&gt;: Inflige 1 dégât automatique&lt;br&gt;&lt;u&gt;Malédiction&lt;/u&gt;: F-1 permanent si vous arrivez à éliminer la carte (conservez-la)</t>
  </si>
  <si>
    <t>F=3-: PV-∞
F=4+: PV-28
F=6: PV-14
F=7+: PV-7
F=10+: /</t>
  </si>
  <si>
    <t>&lt;u&gt;Lycanthrope&lt;/u&gt;: F+1 si arme argentée</t>
  </si>
  <si>
    <t>F=2-: PV-∞
F=3: PV-40
F=4+: PV-20
F=6: PV-10
F=7+: PV-5
F=10+: /</t>
  </si>
  <si>
    <t>F=1: PV-12
F=2: PV-6
F=3: PV-5
F=4: PV-4
F=5+: /</t>
  </si>
  <si>
    <t>PV=0
F=2: PV-6
F=4: PV-4
F=5+: /
Esprit: Esprit-2</t>
  </si>
  <si>
    <t>F=1+: PV-10
F=2+: PV-6
F=4+: PV-4</t>
  </si>
  <si>
    <t>PV=0
F=1: PV-6
Esprit: PV-2, Esprit-1</t>
  </si>
  <si>
    <t>&lt;u&gt;Mort-vivant, immatériel&lt;/u&gt;: F=1, uniquement si arme argentée, sinon F=0&lt;br&gt;&lt;u&gt;Toucher spectral&lt;/u&gt;: Inflige 2 dégâts automatiques&lt;br&gt;&lt;u&gt;Malédiction&lt;/u&gt;: F-1 permanent si vous arrivez à éliminer la carte, conservez cette carte après l'avoir éliminée</t>
  </si>
  <si>
    <t>F=2-: PV-∞
F=3: PV-40
F=4: PV-20
F=6: PV-12
F=7+: PV-8
F=10+: /</t>
  </si>
  <si>
    <t>&lt;u&gt;Trésor&lt;/u&gt;: Épée démoniaque (F+1) non cumulable avec une autre arme, conservez cette carte après l'avoir éliminée</t>
  </si>
  <si>
    <t>F=1-: PV-∞
F=2: PV-50
F=3: PV-30
F=4+: PV-20
F=6: PV-12
F=7+: PV-8
F=10+: /</t>
  </si>
  <si>
    <t xml:space="preserve">
Esprit: PV-1, Esprit-3</t>
  </si>
  <si>
    <t>F=3-: PV-∞
F=4+: PV-42
F=6: PV-28
F=7+: PV-21
F=10+: PV-8</t>
  </si>
  <si>
    <t xml:space="preserve">
Esprit: PV-6, Esprit-2</t>
  </si>
  <si>
    <t>&lt;u&gt;Mort-vivant&lt;/u&gt;: F+1 si arme argentée&lt;br&gt;&lt;u&gt;Toucher spectral&lt;/u&gt;: Inflige 2 dégâts automatiques&lt;br&gt;&lt;u&gt;Vampire&lt;/u&gt;: F+2 face à une torche utilisée comme arme.</t>
  </si>
  <si>
    <t>Pititabeille</t>
  </si>
  <si>
    <t>Insecte</t>
  </si>
  <si>
    <t>Non</t>
  </si>
  <si>
    <t>Normale</t>
  </si>
  <si>
    <t>Oui</t>
  </si>
  <si>
    <t>Aiguillon empoisonne - Toucher</t>
  </si>
  <si>
    <t>Attaque automatique</t>
  </si>
  <si>
    <t>10 ?15</t>
  </si>
  <si>
    <t>1 ?2</t>
  </si>
  <si>
    <t>3 ?2</t>
  </si>
  <si>
    <t>1 ?1</t>
  </si>
  <si>
    <t>100 ?200</t>
  </si>
  <si>
    <t>10 ?2</t>
  </si>
  <si>
    <t>Caillouteux</t>
  </si>
  <si>
    <t>Humano?de</t>
  </si>
  <si>
    <t>Lente</t>
  </si>
  <si>
    <t>30 ?30</t>
  </si>
  <si>
    <t>2 ?2</t>
  </si>
  <si>
    <t>4 ?3</t>
  </si>
  <si>
    <t>10 ?3</t>
  </si>
  <si>
    <t>Gnu Sauvage</t>
  </si>
  <si>
    <t>Animal</t>
  </si>
  <si>
    <t>Rapide</t>
  </si>
  <si>
    <t>Fuyard</t>
  </si>
  <si>
    <t>30 ?25</t>
  </si>
  <si>
    <t>3 ?3</t>
  </si>
  <si>
    <t>1 ?3</t>
  </si>
  <si>
    <t>Mort-Vivant</t>
  </si>
  <si>
    <t>200 ?200</t>
  </si>
  <si>
    <t>100 ?100</t>
  </si>
  <si>
    <t>11 ?3</t>
  </si>
  <si>
    <t>Araign?e G?ante</t>
  </si>
  <si>
    <t>Venin - Toucher</t>
  </si>
  <si>
    <t>40 ?25</t>
  </si>
  <si>
    <t>100 ?</t>
  </si>
  <si>
    <t>Kobold</t>
  </si>
  <si>
    <t>20 ?25</t>
  </si>
  <si>
    <t>5 ?3</t>
  </si>
  <si>
    <t>11 ?4</t>
  </si>
  <si>
    <t>Lutin</t>
  </si>
  <si>
    <t>15 ?20</t>
  </si>
  <si>
    <t>7 ?3</t>
  </si>
  <si>
    <t>13 ?3</t>
  </si>
  <si>
    <t>Ombre</t>
  </si>
  <si>
    <t>Attaque affaiblissante - ?</t>
  </si>
  <si>
    <t>35 ?30</t>
  </si>
  <si>
    <t>Rat Geant</t>
  </si>
  <si>
    <t>20 ?20</t>
  </si>
  <si>
    <t>2?2</t>
  </si>
  <si>
    <t>12 ?3</t>
  </si>
  <si>
    <t>Strige</t>
  </si>
  <si>
    <t>Drain de vie - Toucher</t>
  </si>
  <si>
    <t>L?vitation</t>
  </si>
  <si>
    <t>25 ?25</t>
  </si>
  <si>
    <t>2 ?1</t>
  </si>
  <si>
    <t>Boggart</t>
  </si>
  <si>
    <t>40 ?30</t>
  </si>
  <si>
    <t>6 ?3</t>
  </si>
  <si>
    <t>0 ?200</t>
  </si>
  <si>
    <t>12 ?5</t>
  </si>
  <si>
    <t>Champi-Glouton</t>
  </si>
  <si>
    <t>Spore - Auto</t>
  </si>
  <si>
    <t>500 ?300</t>
  </si>
  <si>
    <t>500 ?200</t>
  </si>
  <si>
    <t>14 ?3</t>
  </si>
  <si>
    <t>Gargouille</t>
  </si>
  <si>
    <t>Monstre</t>
  </si>
  <si>
    <t>75 ?30</t>
  </si>
  <si>
    <t>Gremlins</t>
  </si>
  <si>
    <t>Mort : Duplication (2)</t>
  </si>
  <si>
    <t>45 ?25</t>
  </si>
  <si>
    <t>12 ?4</t>
  </si>
  <si>
    <t>Monstre Rouilleur</t>
  </si>
  <si>
    <t>Acide - Zone</t>
  </si>
  <si>
    <t>Grignotage</t>
  </si>
  <si>
    <t>Orque</t>
  </si>
  <si>
    <t>Rat-Garou</t>
  </si>
  <si>
    <t>Maladie - Toucher</t>
  </si>
  <si>
    <t>35 ?25</t>
  </si>
  <si>
    <t>2 ?3</t>
  </si>
  <si>
    <t>3 ?1</t>
  </si>
  <si>
    <t>Sagouin</t>
  </si>
  <si>
    <t>Chauve-Souris Geante</t>
  </si>
  <si>
    <t>100 ?300</t>
  </si>
  <si>
    <t>Fungus Violet</t>
  </si>
  <si>
    <t>Spore - Zone</t>
  </si>
  <si>
    <t>6 ?4</t>
  </si>
  <si>
    <t>4 ?4</t>
  </si>
  <si>
    <t>400 ?300</t>
  </si>
  <si>
    <t>10 ?4</t>
  </si>
  <si>
    <t>Goblours</t>
  </si>
  <si>
    <t>65 ?30</t>
  </si>
  <si>
    <t>13 ?4</t>
  </si>
  <si>
    <t>Goule</t>
  </si>
  <si>
    <t>Attaque paralysante - Zone (1) environ +75min / +15min</t>
  </si>
  <si>
    <t>4 ?2</t>
  </si>
  <si>
    <t>300 ?300</t>
  </si>
  <si>
    <t>Grouilleux</t>
  </si>
  <si>
    <t>100 ?0</t>
  </si>
  <si>
    <t>9 ?1</t>
  </si>
  <si>
    <t>Harpie</t>
  </si>
  <si>
    <t>Coup perforant - Toucher</t>
  </si>
  <si>
    <t>Homme-Lezard</t>
  </si>
  <si>
    <t>50 ?25</t>
  </si>
  <si>
    <t>8 ?3</t>
  </si>
  <si>
    <t>300 ?200</t>
  </si>
  <si>
    <t>200 ?300</t>
  </si>
  <si>
    <t>Attaque affaiblissante - Toucher</t>
  </si>
  <si>
    <t>Plante Carnivore</t>
  </si>
  <si>
    <t>Attaque paralysante - Zone</t>
  </si>
  <si>
    <t>Scarabee Geant</t>
  </si>
  <si>
    <t>Acide - Auto</t>
  </si>
  <si>
    <t>85 ?35</t>
  </si>
  <si>
    <t>Tutoki</t>
  </si>
  <si>
    <t>Constriction - Toucher</t>
  </si>
  <si>
    <t>3 |?3</t>
  </si>
  <si>
    <t>Cockatrice</t>
  </si>
  <si>
    <t>P?trification - Toucher</t>
  </si>
  <si>
    <t>Diablotin</t>
  </si>
  <si>
    <t>D?mon</t>
  </si>
  <si>
    <t>15 ?4</t>
  </si>
  <si>
    <t>7 ?2</t>
  </si>
  <si>
    <t>1000 ?300</t>
  </si>
  <si>
    <t>16 ?5</t>
  </si>
  <si>
    <t>Gnoll</t>
  </si>
  <si>
    <t>45 ?35</t>
  </si>
  <si>
    <t>Lezard Geant</t>
  </si>
  <si>
    <t>Pseudo-dragon</t>
  </si>
  <si>
    <t>55 ?30</t>
  </si>
  <si>
    <t>20 ?3</t>
  </si>
  <si>
    <t>100 ?400</t>
  </si>
  <si>
    <t>Rocketeux</t>
  </si>
  <si>
    <t>60 ?30</t>
  </si>
  <si>
    <t>18 ?4</t>
  </si>
  <si>
    <t>Slaad</t>
  </si>
  <si>
    <t>Attaque paralysante - Auto</t>
  </si>
  <si>
    <t>50 ?35</t>
  </si>
  <si>
    <t>7 ?4</t>
  </si>
  <si>
    <t>Worg</t>
  </si>
  <si>
    <t>Croquemitaine</t>
  </si>
  <si>
    <t>Attaque aveuglante - Toucher</t>
  </si>
  <si>
    <t>70 ?30</t>
  </si>
  <si>
    <t>M?duse</t>
  </si>
  <si>
    <t>P?trification - Zone (1)</t>
  </si>
  <si>
    <t>45 ?30</t>
  </si>
  <si>
    <t>Mimique</t>
  </si>
  <si>
    <t>Attaque gluante - Zone</t>
  </si>
  <si>
    <t>15 ?3</t>
  </si>
  <si>
    <t>12 ?2</t>
  </si>
  <si>
    <t>Erinyes</t>
  </si>
  <si>
    <t>Charme - Zone (1/1)</t>
  </si>
  <si>
    <t>Minotaure</t>
  </si>
  <si>
    <t>80 ?30</t>
  </si>
  <si>
    <t>5 ? 3</t>
  </si>
  <si>
    <t>Nuage d'Insectes</t>
  </si>
  <si>
    <t>Attaque aveuglante - Zone</t>
  </si>
  <si>
    <t>60 ?25</t>
  </si>
  <si>
    <t>Ame-en-peine</t>
  </si>
  <si>
    <t>Drain de vie - Auto</t>
  </si>
  <si>
    <t>Anaconda des Catacombes</t>
  </si>
  <si>
    <t>11 ?5</t>
  </si>
  <si>
    <t>Ettin</t>
  </si>
  <si>
    <t>140 ?40</t>
  </si>
  <si>
    <t>Golem de Chair</t>
  </si>
  <si>
    <t>90 ?30</t>
  </si>
  <si>
    <t>9 ?4</t>
  </si>
  <si>
    <t>16 ?4</t>
  </si>
  <si>
    <t>1500 ?600</t>
  </si>
  <si>
    <t>Hurleur</t>
  </si>
  <si>
    <t>4 ?1</t>
  </si>
  <si>
    <t>Molosse Satanique</t>
  </si>
  <si>
    <t>Souffle de feu - Auto</t>
  </si>
  <si>
    <t>Necrophage</t>
  </si>
  <si>
    <t>Y?ti</t>
  </si>
  <si>
    <t>55 ? 30</t>
  </si>
  <si>
    <t>Amibe g?ante</t>
  </si>
  <si>
    <t>90 ?35</t>
  </si>
  <si>
    <t>Bondin</t>
  </si>
  <si>
    <t>Acide - Toucher</t>
  </si>
  <si>
    <t>Mort : Explosion acide</t>
  </si>
  <si>
    <t>Fungus Geant</t>
  </si>
  <si>
    <t>5 ?2</t>
  </si>
  <si>
    <t>Manticore</t>
  </si>
  <si>
    <t>70 ?25</t>
  </si>
  <si>
    <t>Abishaii noir</t>
  </si>
  <si>
    <t>1000 ?400</t>
  </si>
  <si>
    <t>Ankheg</t>
  </si>
  <si>
    <t>95 ?35</t>
  </si>
  <si>
    <t>Crasc</t>
  </si>
  <si>
    <t>Absorption de pouvoir - Zone</t>
  </si>
  <si>
    <t>9 ?2</t>
  </si>
  <si>
    <t>Furgolin</t>
  </si>
  <si>
    <t>Limace Geante</t>
  </si>
  <si>
    <t>85 ?30</t>
  </si>
  <si>
    <t>Naga</t>
  </si>
  <si>
    <t>600 ?400</t>
  </si>
  <si>
    <t>Scorpion Geant</t>
  </si>
  <si>
    <t>Thri-kreen</t>
  </si>
  <si>
    <t>9 ?3</t>
  </si>
  <si>
    <t>Basilisk</t>
  </si>
  <si>
    <t>P?trification - Zone</t>
  </si>
  <si>
    <t>Gorgone</t>
  </si>
  <si>
    <t>P?trification - Auto</t>
  </si>
  <si>
    <t>Tigre-Garou</t>
  </si>
  <si>
    <t>Ver Carnivore Geant</t>
  </si>
  <si>
    <t>160 ?45</t>
  </si>
  <si>
    <t>6 ? 3</t>
  </si>
  <si>
    <t>700 ?400</t>
  </si>
  <si>
    <t>Chimere</t>
  </si>
  <si>
    <t>15 ?2</t>
  </si>
  <si>
    <t>G?ant de Pierre</t>
  </si>
  <si>
    <t>Attaque ?tourdissante - Toucher</t>
  </si>
  <si>
    <t>170 ?45</t>
  </si>
  <si>
    <t>600 ?300</t>
  </si>
  <si>
    <t>Incube</t>
  </si>
  <si>
    <t>105 ?35</t>
  </si>
  <si>
    <t>Nuee de Vermine</t>
  </si>
  <si>
    <t>Coup perforant - Zone</t>
  </si>
  <si>
    <t>6 ?2</t>
  </si>
  <si>
    <t>400 ?200</t>
  </si>
  <si>
    <t>Ombre de Roches</t>
  </si>
  <si>
    <t>100 ?35</t>
  </si>
  <si>
    <t>Succube</t>
  </si>
  <si>
    <t>B?hir</t>
  </si>
  <si>
    <t>Mille-Pattes Geant</t>
  </si>
  <si>
    <t>110 ?40</t>
  </si>
  <si>
    <t>Mouch'oo</t>
  </si>
  <si>
    <t>Vol de mouche</t>
  </si>
  <si>
    <t>Mort : lib?ration des mouches</t>
  </si>
  <si>
    <t>120 ?35</t>
  </si>
  <si>
    <t>Oui (1)</t>
  </si>
  <si>
    <t>1100 ?400</t>
  </si>
  <si>
    <t>Tubercule Tueur</t>
  </si>
  <si>
    <t>Veskan du Chaos</t>
  </si>
  <si>
    <t>Maladie - Zone</t>
  </si>
  <si>
    <t>8 ?2</t>
  </si>
  <si>
    <t>800 ?200</t>
  </si>
  <si>
    <t>600 ?200</t>
  </si>
  <si>
    <t>Xorn</t>
  </si>
  <si>
    <t>Abishaii vert</t>
  </si>
  <si>
    <t>700 ?600</t>
  </si>
  <si>
    <t>2000 ?800</t>
  </si>
  <si>
    <t>Geck'oo</t>
  </si>
  <si>
    <t>Camouflage</t>
  </si>
  <si>
    <t>Golem d'Argile</t>
  </si>
  <si>
    <t>130 ?35</t>
  </si>
  <si>
    <t>19 ?3</t>
  </si>
  <si>
    <t>2000 ?500</t>
  </si>
  <si>
    <t>Yuan-ti</t>
  </si>
  <si>
    <t>800 ?300</t>
  </si>
  <si>
    <t>Banshee</t>
  </si>
  <si>
    <t>Charme - Zone</t>
  </si>
  <si>
    <t>800 ?400</t>
  </si>
  <si>
    <t>Esprit-Follet</t>
  </si>
  <si>
    <t>Aura de feu - Zone</t>
  </si>
  <si>
    <t>14 ?4</t>
  </si>
  <si>
    <t>Crasc Medius</t>
  </si>
  <si>
    <t>250 ?70</t>
  </si>
  <si>
    <t>20 ?4</t>
  </si>
  <si>
    <t>0 ?100</t>
  </si>
  <si>
    <t>El?mentaire d'Eau</t>
  </si>
  <si>
    <t>100 ?30</t>
  </si>
  <si>
    <t>1200 ?400</t>
  </si>
  <si>
    <t>700 ?300</t>
  </si>
  <si>
    <t>Sorci?re</t>
  </si>
  <si>
    <t>1300 ?400</t>
  </si>
  <si>
    <t>Ectoplasme</t>
  </si>
  <si>
    <t>Coup perforant - Auto</t>
  </si>
  <si>
    <t>1900 ?400</t>
  </si>
  <si>
    <t>Hellrot</t>
  </si>
  <si>
    <t>Mort : Maladie - zone</t>
  </si>
  <si>
    <t>Ours-Garou</t>
  </si>
  <si>
    <t>Abishaii bleu</t>
  </si>
  <si>
    <t>3200 ?800</t>
  </si>
  <si>
    <t>Bouj'Dla</t>
  </si>
  <si>
    <t>Expulsion</t>
  </si>
  <si>
    <t>155 ?45</t>
  </si>
  <si>
    <t>4200 ?500</t>
  </si>
  <si>
    <t>Bulette</t>
  </si>
  <si>
    <t>100 ?500</t>
  </si>
  <si>
    <t>900 ?300</t>
  </si>
  <si>
    <t>Chevalier du Chaos</t>
  </si>
  <si>
    <t>Toucher chaotique</t>
  </si>
  <si>
    <t>180 ?45</t>
  </si>
  <si>
    <t>12 ?6</t>
  </si>
  <si>
    <t>5 ?4</t>
  </si>
  <si>
    <t>19 ?4</t>
  </si>
  <si>
    <t>Feu-Follet</t>
  </si>
  <si>
    <t>Aura de feu - Zone (1)</t>
  </si>
  <si>
    <t>Glouton</t>
  </si>
  <si>
    <t>Tertre Errant</t>
  </si>
  <si>
    <t>120 ?30</t>
  </si>
  <si>
    <t>El?mentaire de Feu</t>
  </si>
  <si>
    <t>110 ?35</t>
  </si>
  <si>
    <t>El?mentaire de Terre</t>
  </si>
  <si>
    <t>Attaque etourdissante - Toucher</t>
  </si>
  <si>
    <t>180 ?50</t>
  </si>
  <si>
    <t>30 ?5</t>
  </si>
  <si>
    <t>2200 ?600</t>
  </si>
  <si>
    <t>Coccicruelle</t>
  </si>
  <si>
    <t>Mort : Alea</t>
  </si>
  <si>
    <t>Fumeux</t>
  </si>
  <si>
    <t>Enfumage</t>
  </si>
  <si>
    <t>60 ?35</t>
  </si>
  <si>
    <t>16 ?3</t>
  </si>
  <si>
    <t>1600 ?400</t>
  </si>
  <si>
    <t>1500 ?400</t>
  </si>
  <si>
    <t>G?ant des Gouffres</t>
  </si>
  <si>
    <t>Attaque ?lectrique - Zone</t>
  </si>
  <si>
    <t>2000 ?600</t>
  </si>
  <si>
    <t>Abishaii rouge</t>
  </si>
  <si>
    <t>3000 ?800</t>
  </si>
  <si>
    <t>Cheval ? Dents de Sabre</t>
  </si>
  <si>
    <t>130 ?40</t>
  </si>
  <si>
    <t>1700 ?500</t>
  </si>
  <si>
    <t>El?mentaire d'Air</t>
  </si>
  <si>
    <t>Attaque electrique - Zone</t>
  </si>
  <si>
    <t>Golem de Pierre</t>
  </si>
  <si>
    <t>175 ?45</t>
  </si>
  <si>
    <t>17 ?4</t>
  </si>
  <si>
    <t>30 ?4</t>
  </si>
  <si>
    <t>2400 ?600</t>
  </si>
  <si>
    <t>Chonchon</t>
  </si>
  <si>
    <t>190 ?50</t>
  </si>
  <si>
    <t>1900 ?600</t>
  </si>
  <si>
    <t>Fant?me</t>
  </si>
  <si>
    <t>Attaque affaiblissante - Zone</t>
  </si>
  <si>
    <t>1500 ?500</t>
  </si>
  <si>
    <t>Carnosaure</t>
  </si>
  <si>
    <t>Crasc Maexus</t>
  </si>
  <si>
    <t>Absorption de pouvoir - Zone (-1rm / -1%, -1-4% repartition fonction age)</t>
  </si>
  <si>
    <t>340 ?85</t>
  </si>
  <si>
    <t>3000 ?700</t>
  </si>
  <si>
    <t>Essaim Sanguinaire</t>
  </si>
  <si>
    <t>Attaque paralysante - Toucher</t>
  </si>
  <si>
    <t>1900 ?500</t>
  </si>
  <si>
    <t>El?mentaire du Chaos</t>
  </si>
  <si>
    <t>Mort : Malediction du chaos</t>
  </si>
  <si>
    <t>Labeilleux</t>
  </si>
  <si>
    <t>L?vitation Mort : Appel Pititabeille</t>
  </si>
  <si>
    <t>120 ?40</t>
  </si>
  <si>
    <t>Titan</t>
  </si>
  <si>
    <t>150 ?40</t>
  </si>
  <si>
    <t>Daemonite</t>
  </si>
  <si>
    <t>Fleche acide - Toucher ?</t>
  </si>
  <si>
    <t>Aneantissement magique</t>
  </si>
  <si>
    <t>170 ?30</t>
  </si>
  <si>
    <t>9 ?8</t>
  </si>
  <si>
    <t>8 ?1</t>
  </si>
  <si>
    <t>2400 ?500</t>
  </si>
  <si>
    <t>Effrit</t>
  </si>
  <si>
    <t>3500 ?500</t>
  </si>
  <si>
    <t>Shai</t>
  </si>
  <si>
    <t>Djinn</t>
  </si>
  <si>
    <t>Regard magique - Zone</t>
  </si>
  <si>
    <t>1400 ?400</t>
  </si>
  <si>
    <t>Palefroi Infernal</t>
  </si>
  <si>
    <t>Attaque affaiblissante - Zone (1)</t>
  </si>
  <si>
    <t>135 ?35</t>
  </si>
  <si>
    <t>7?2</t>
  </si>
  <si>
    <t>3900 ?300</t>
  </si>
  <si>
    <t>Essaim Crat?rien</t>
  </si>
  <si>
    <t>Mort : Duplication (++)</t>
  </si>
  <si>
    <t>200 ?65</t>
  </si>
  <si>
    <t>20 ?5</t>
  </si>
  <si>
    <t>31 ?6</t>
  </si>
  <si>
    <t>3100 ?1000</t>
  </si>
  <si>
    <t>3100 ?400</t>
  </si>
  <si>
    <t>Mante Fulcreuse</t>
  </si>
  <si>
    <t>Venin virulent - Toucher</t>
  </si>
  <si>
    <t>190 ?45</t>
  </si>
  <si>
    <t>Sphinx</t>
  </si>
  <si>
    <t>Regard magique - Auto</t>
  </si>
  <si>
    <t>2000 ?400</t>
  </si>
  <si>
    <t>Golem de Fer</t>
  </si>
  <si>
    <t>21 ?4</t>
  </si>
  <si>
    <t>40 ?5</t>
  </si>
  <si>
    <t>3600 ?600</t>
  </si>
  <si>
    <t>Grylle</t>
  </si>
  <si>
    <t>Constriction - Zone (1)</t>
  </si>
  <si>
    <t>Cube Gelatineux</t>
  </si>
  <si>
    <t>220 ?60</t>
  </si>
  <si>
    <t>Flagelleur Mental</t>
  </si>
  <si>
    <t>Flagellation mentale - Auto</t>
  </si>
  <si>
    <t>155 ?40</t>
  </si>
  <si>
    <t>2900 ?800</t>
  </si>
  <si>
    <t>3700 ?700</t>
  </si>
  <si>
    <t>Marilith</t>
  </si>
  <si>
    <t>Mouch'oo Majestueux</t>
  </si>
  <si>
    <t>Vouivre</t>
  </si>
  <si>
    <t>17 ?3</t>
  </si>
  <si>
    <t>Behemoth</t>
  </si>
  <si>
    <t>275 ?70</t>
  </si>
  <si>
    <t>38 ?5</t>
  </si>
  <si>
    <t>Ashashin</t>
  </si>
  <si>
    <t>Oui special</t>
  </si>
  <si>
    <t>Attraction - Auto</t>
  </si>
  <si>
    <t>Camouflage ?</t>
  </si>
  <si>
    <t>115 ?25</t>
  </si>
  <si>
    <t>6 ?1</t>
  </si>
  <si>
    <t>1100 ?300</t>
  </si>
  <si>
    <t>Capitan</t>
  </si>
  <si>
    <t>Mort : tresor special (carte de cachette)</t>
  </si>
  <si>
    <t>195 ?50</t>
  </si>
  <si>
    <t>1400 ?500</t>
  </si>
  <si>
    <t>Trancheur</t>
  </si>
  <si>
    <t>2600 ?700</t>
  </si>
  <si>
    <t>Anoploure Purpurin</t>
  </si>
  <si>
    <t>Barghest</t>
  </si>
  <si>
    <t>Bouj'Dla Placide</t>
  </si>
  <si>
    <t>300 ?75</t>
  </si>
  <si>
    <t>Necrochore</t>
  </si>
  <si>
    <t>Venin - Auto</t>
  </si>
  <si>
    <t>22 ?5</t>
  </si>
  <si>
    <t>&gt;&gt;4800</t>
  </si>
  <si>
    <t>Foudroyeur</t>
  </si>
  <si>
    <t>Attaque ?lectrique - Auto</t>
  </si>
  <si>
    <t>M?gacephale</t>
  </si>
  <si>
    <t>Trombe mentale - Auto</t>
  </si>
  <si>
    <t>200 ?50</t>
  </si>
  <si>
    <t>18 ?3</t>
  </si>
  <si>
    <t>10 ? 2</t>
  </si>
  <si>
    <t>Gritche</t>
  </si>
  <si>
    <t>215 ?60</t>
  </si>
  <si>
    <t>3600 ?1000</t>
  </si>
  <si>
    <t>2500 ?700</t>
  </si>
  <si>
    <t>Necromant</t>
  </si>
  <si>
    <t>Appel</t>
  </si>
  <si>
    <t>160 ?40</t>
  </si>
  <si>
    <t>4700 ?300</t>
  </si>
  <si>
    <t>3100 ?700</t>
  </si>
  <si>
    <t>Geck'oo majestueux</t>
  </si>
  <si>
    <t>Balrog</t>
  </si>
  <si>
    <t>*Monstre Mythique*</t>
  </si>
  <si>
    <t>Beholder</t>
  </si>
  <si>
    <t>Hydre</t>
  </si>
  <si>
    <t>Liche</t>
  </si>
  <si>
    <t>Aragnarok du Chaos</t>
  </si>
  <si>
    <t>70 ?</t>
  </si>
  <si>
    <t>15 ?</t>
  </si>
  <si>
    <t>8 ?</t>
  </si>
  <si>
    <t>12 ?</t>
  </si>
  <si>
    <t>2 ?</t>
  </si>
  <si>
    <t>6 ?</t>
  </si>
  <si>
    <t>1100 ?</t>
  </si>
  <si>
    <t>1000 ?</t>
  </si>
  <si>
    <t>9 ?</t>
  </si>
  <si>
    <t>El?mentaire magmatique</t>
  </si>
  <si>
    <t>Fusion</t>
  </si>
  <si>
    <t>Raquettou</t>
  </si>
  <si>
    <t>*Id*</t>
  </si>
  <si>
    <t>*Nom*</t>
  </si>
  <si>
    <t>*Famille*</t>
  </si>
  <si>
    <t>*Niv*</t>
  </si>
  <si>
    <t>*Nb att*</t>
  </si>
  <si>
    <t>*Att mag*</t>
  </si>
  <si>
    <t>*Att dist*</t>
  </si>
  <si>
    <t>*Vit*</t>
  </si>
  <si>
    <t>*VlC*</t>
  </si>
  <si>
    <t>*Pouvoir 1*</t>
  </si>
  <si>
    <t>*Pouvoir 2*</t>
  </si>
  <si>
    <t>*PV*</t>
  </si>
  <si>
    <t>*Att*</t>
  </si>
  <si>
    <t>*Esq*</t>
  </si>
  <si>
    <t>*D?g?t*</t>
  </si>
  <si>
    <t>*Vue*</t>
  </si>
  <si>
    <t>*R?gen*</t>
  </si>
  <si>
    <t>*Arm phy*</t>
  </si>
  <si>
    <t>*Arm mag*</t>
  </si>
  <si>
    <t>*MM*</t>
  </si>
  <si>
    <t>*RM*</t>
  </si>
  <si>
    <t>*DLA*</t>
  </si>
  <si>
    <t>*Echant*</t>
  </si>
  <si>
    <t>Phoenix</t>
  </si>
  <si>
    <t>32/34/36</t>
  </si>
  <si>
    <t>Oui ? la 3?me gene</t>
  </si>
  <si>
    <t>*1?re gene: Aura de feu - Zone *2?me gene: Aura vengeresse - Zone *3?me 
gene: Aura vengeresse - Zone (1)</t>
  </si>
  <si>
    <t>Mort : Kaboum</t>
  </si>
  <si>
    <t>135 ?45</t>
  </si>
  <si>
    <t>8 ?5</t>
  </si>
  <si>
    <t>3600 ?500</t>
  </si>
  <si>
    <t>2600 ?600</t>
  </si>
  <si>
    <t>Lapin Blanc</t>
  </si>
  <si>
    <t>Les Yeux</t>
  </si>
  <si>
    <t>Main noire?</t>
  </si>
  <si>
    <t>Super Bouffon, Gardien des Arcanes?</t>
  </si>
  <si>
    <t>Tempete de givre?</t>
  </si>
  <si>
    <t>Tempete de givre - Zone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</si>
</sst>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u/>
      <sz val="10.0"/>
    </font>
    <font>
      <i/>
      <u/>
      <sz val="10.0"/>
    </font>
    <font>
      <sz val="6.0"/>
    </font>
    <font>
      <u/>
      <sz val="10.0"/>
    </font>
    <font>
      <u/>
      <sz val="10.0"/>
    </font>
    <font>
      <b/>
      <sz val="10.0"/>
    </font>
    <font>
      <i/>
      <sz val="10.0"/>
    </font>
    <font/>
    <font>
      <sz val="7.0"/>
    </font>
    <font>
      <b/>
      <sz val="7.0"/>
    </font>
    <font>
      <b/>
      <i/>
      <sz val="10.0"/>
    </font>
    <font>
      <sz val="8.0"/>
    </font>
  </fonts>
  <fills count="2">
    <fill>
      <patternFill patternType="none"/>
    </fill>
    <fill>
      <patternFill patternType="lightGray"/>
    </fill>
  </fills>
  <borders count="9">
    <border/>
    <border>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7"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readingOrder="0" shrinkToFit="0" vertical="top" wrapText="1"/>
    </xf>
    <xf borderId="0" fillId="0" fontId="7" numFmtId="0" xfId="0" applyAlignment="1" applyFont="1">
      <alignment readingOrder="0" shrinkToFit="0" wrapText="1"/>
    </xf>
    <xf borderId="0" fillId="0" fontId="9" numFmtId="0" xfId="0" applyAlignment="1" applyFont="1">
      <alignment shrinkToFit="0" wrapText="1"/>
    </xf>
    <xf borderId="0" fillId="0" fontId="6" numFmtId="0" xfId="0" applyAlignment="1" applyFont="1">
      <alignment shrinkToFit="0" wrapText="1"/>
    </xf>
    <xf borderId="0" fillId="0" fontId="8" numFmtId="0" xfId="0" applyAlignment="1" applyFont="1">
      <alignment shrinkToFit="0" vertical="top" wrapText="1"/>
    </xf>
    <xf borderId="0" fillId="0" fontId="3" numFmtId="0" xfId="0" applyAlignment="1" applyFont="1">
      <alignment shrinkToFit="0" vertical="top" wrapText="1"/>
    </xf>
    <xf borderId="0" fillId="0" fontId="9" numFmtId="0" xfId="0" applyAlignment="1" applyFont="1">
      <alignment shrinkToFit="0" wrapText="1"/>
    </xf>
    <xf borderId="1" fillId="0" fontId="6" numFmtId="0" xfId="0" applyAlignment="1" applyBorder="1" applyFont="1">
      <alignment readingOrder="0" shrinkToFit="0" wrapText="1"/>
    </xf>
    <xf borderId="1" fillId="0" fontId="8" numFmtId="0" xfId="0" applyAlignment="1" applyBorder="1" applyFont="1">
      <alignment readingOrder="0" shrinkToFit="0" wrapText="1"/>
    </xf>
    <xf borderId="1" fillId="0" fontId="8" numFmtId="0" xfId="0" applyAlignment="1" applyBorder="1" applyFont="1">
      <alignment shrinkToFit="0" wrapText="1"/>
    </xf>
    <xf borderId="1" fillId="0" fontId="8" numFmtId="0" xfId="0" applyAlignment="1" applyBorder="1" applyFont="1">
      <alignment shrinkToFit="0" wrapText="1"/>
    </xf>
    <xf borderId="1" fillId="0" fontId="8" numFmtId="0" xfId="0" applyAlignment="1" applyBorder="1" applyFont="1">
      <alignment shrinkToFit="0" vertical="top" wrapText="1"/>
    </xf>
    <xf borderId="2" fillId="0" fontId="8" numFmtId="0" xfId="0" applyAlignment="1" applyBorder="1" applyFont="1">
      <alignment shrinkToFit="0" wrapText="1"/>
    </xf>
    <xf borderId="3" fillId="0" fontId="6" numFmtId="0" xfId="0" applyAlignment="1" applyBorder="1" applyFont="1">
      <alignment readingOrder="0" shrinkToFit="0" wrapText="1"/>
    </xf>
    <xf borderId="4" fillId="0" fontId="7" numFmtId="0" xfId="0" applyAlignment="1" applyBorder="1" applyFont="1">
      <alignment shrinkToFit="0" wrapText="1"/>
    </xf>
    <xf borderId="1" fillId="0" fontId="6" numFmtId="0" xfId="0" applyAlignment="1" applyBorder="1" applyFont="1">
      <alignment readingOrder="0" shrinkToFit="0" vertical="top" wrapText="1"/>
    </xf>
    <xf borderId="4" fillId="0" fontId="8" numFmtId="0" xfId="0" applyAlignment="1" applyBorder="1" applyFont="1">
      <alignment shrinkToFit="0" wrapText="1"/>
    </xf>
    <xf borderId="1" fillId="0" fontId="10" numFmtId="0" xfId="0" applyAlignment="1" applyBorder="1" applyFont="1">
      <alignment readingOrder="0" shrinkToFit="0" vertical="top" wrapText="1"/>
    </xf>
    <xf borderId="1" fillId="0" fontId="6" numFmtId="0" xfId="0" applyAlignment="1" applyBorder="1" applyFont="1">
      <alignment shrinkToFit="0" vertical="top" wrapText="1"/>
    </xf>
    <xf borderId="4" fillId="0" fontId="8" numFmtId="0" xfId="0" applyAlignment="1" applyBorder="1" applyFont="1">
      <alignment readingOrder="0" shrinkToFit="0" vertical="top" wrapText="1"/>
    </xf>
    <xf quotePrefix="1" borderId="4" fillId="0" fontId="8" numFmtId="0" xfId="0" applyAlignment="1" applyBorder="1" applyFont="1">
      <alignment readingOrder="0" shrinkToFit="0" vertical="top" wrapText="1"/>
    </xf>
    <xf borderId="4" fillId="0" fontId="8" numFmtId="0" xfId="0" applyAlignment="1" applyBorder="1" applyFont="1">
      <alignment shrinkToFit="0" wrapText="1"/>
    </xf>
    <xf borderId="4" fillId="0" fontId="8" numFmtId="0" xfId="0" applyAlignment="1" applyBorder="1" applyFont="1">
      <alignment shrinkToFit="0" vertical="top" wrapText="1"/>
    </xf>
    <xf borderId="5" fillId="0" fontId="8" numFmtId="0" xfId="0" applyAlignment="1" applyBorder="1" applyFont="1">
      <alignment shrinkToFit="0" wrapText="1"/>
    </xf>
    <xf borderId="4" fillId="0" fontId="9" numFmtId="0" xfId="0" applyAlignment="1" applyBorder="1" applyFont="1">
      <alignment readingOrder="0" shrinkToFit="0" vertical="top" wrapText="1"/>
    </xf>
    <xf borderId="6" fillId="0" fontId="8" numFmtId="0" xfId="0" applyAlignment="1" applyBorder="1" applyFont="1">
      <alignment shrinkToFit="0" wrapText="1"/>
    </xf>
    <xf quotePrefix="1" borderId="0" fillId="0" fontId="8" numFmtId="0" xfId="0" applyAlignment="1" applyFont="1">
      <alignment readingOrder="0" shrinkToFit="0" vertical="top" wrapText="1"/>
    </xf>
    <xf borderId="6" fillId="0" fontId="6" numFmtId="0" xfId="0" applyAlignment="1" applyBorder="1" applyFont="1">
      <alignment readingOrder="0" shrinkToFit="0" wrapText="1"/>
    </xf>
    <xf borderId="0" fillId="0" fontId="9" numFmtId="0" xfId="0" applyAlignment="1" applyFont="1">
      <alignment shrinkToFit="0" vertical="top" wrapText="1"/>
    </xf>
    <xf borderId="0" fillId="0" fontId="9" numFmtId="0" xfId="0" applyAlignment="1" applyFont="1">
      <alignment readingOrder="0" shrinkToFit="0" vertical="top" wrapText="1"/>
    </xf>
    <xf borderId="0" fillId="0" fontId="7" numFmtId="0" xfId="0" applyAlignment="1" applyFont="1">
      <alignment shrinkToFit="0" wrapText="1"/>
    </xf>
    <xf borderId="7" fillId="0" fontId="6" numFmtId="0" xfId="0" applyAlignment="1" applyBorder="1" applyFont="1">
      <alignment readingOrder="0" shrinkToFit="0" wrapText="1"/>
    </xf>
    <xf borderId="1" fillId="0" fontId="7" numFmtId="0" xfId="0" applyAlignment="1" applyBorder="1" applyFont="1">
      <alignment shrinkToFit="0" wrapText="1"/>
    </xf>
    <xf borderId="8" fillId="0" fontId="8" numFmtId="0" xfId="0" applyAlignment="1" applyBorder="1" applyFont="1">
      <alignment shrinkToFit="0" wrapText="1"/>
    </xf>
    <xf borderId="4" fillId="0" fontId="6" numFmtId="0" xfId="0" applyAlignment="1" applyBorder="1" applyFont="1">
      <alignmen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6" numFmtId="0" xfId="0" applyAlignment="1" applyBorder="1" applyFont="1">
      <alignment shrinkToFit="0" wrapText="1"/>
    </xf>
    <xf borderId="1" fillId="0" fontId="10" numFmtId="0" xfId="0" applyAlignment="1" applyBorder="1" applyFont="1">
      <alignment shrinkToFit="0" wrapText="1"/>
    </xf>
    <xf borderId="1" fillId="0" fontId="11" numFmtId="0" xfId="0" applyAlignment="1" applyBorder="1" applyFont="1">
      <alignment readingOrder="0" shrinkToFit="0" wrapText="1"/>
    </xf>
    <xf borderId="1" fillId="0" fontId="8"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shrinkToFit="0" wrapText="1"/>
    </xf>
    <xf borderId="4" fillId="0" fontId="3" numFmtId="0" xfId="0" applyAlignment="1" applyBorder="1" applyFont="1">
      <alignment shrinkToFit="0" wrapText="1"/>
    </xf>
    <xf borderId="4" fillId="0" fontId="3" numFmtId="0" xfId="0" applyAlignment="1" applyBorder="1" applyFont="1">
      <alignment shrinkToFit="0" wrapText="1"/>
    </xf>
    <xf borderId="4" fillId="0" fontId="9" numFmtId="0" xfId="0" applyAlignment="1" applyBorder="1" applyFont="1">
      <alignment shrinkToFit="0" wrapText="1"/>
    </xf>
    <xf quotePrefix="1" borderId="0" fillId="0" fontId="8" numFmtId="0" xfId="0" applyAlignment="1" applyFont="1">
      <alignment horizontal="right" readingOrder="0" shrinkToFit="0" vertical="bottom" wrapText="1"/>
    </xf>
    <xf borderId="4" fillId="0" fontId="8" numFmtId="0" xfId="0" applyAlignment="1" applyBorder="1" applyFont="1">
      <alignment readingOrder="0" shrinkToFit="0" wrapText="1"/>
    </xf>
    <xf borderId="0" fillId="0" fontId="8" numFmtId="0" xfId="0" applyAlignment="1" applyFont="1">
      <alignment horizontal="right" readingOrder="0" shrinkToFit="0" vertical="bottom" wrapText="1"/>
    </xf>
    <xf borderId="4" fillId="0" fontId="12" numFmtId="0" xfId="0" applyAlignment="1" applyBorder="1" applyFont="1">
      <alignment readingOrder="0" shrinkToFit="0" vertical="top" wrapText="1"/>
    </xf>
    <xf borderId="4" fillId="0" fontId="3" numFmtId="0" xfId="0" applyAlignment="1" applyBorder="1" applyFont="1">
      <alignment shrinkToFit="0" vertical="top" wrapText="1"/>
    </xf>
    <xf borderId="4" fillId="0" fontId="3" numFmtId="0" xfId="0" applyAlignment="1" applyBorder="1" applyFont="1">
      <alignment shrinkToFit="0" vertical="top" wrapText="1"/>
    </xf>
    <xf borderId="1" fillId="0" fontId="9" numFmtId="0" xfId="0" applyAlignment="1" applyBorder="1" applyFont="1">
      <alignment shrinkToFit="0" wrapText="1"/>
    </xf>
    <xf borderId="1" fillId="0" fontId="7" numFmtId="0" xfId="0" applyAlignment="1" applyBorder="1" applyFont="1">
      <alignment shrinkToFit="0" wrapText="1"/>
    </xf>
    <xf borderId="0" fillId="0" fontId="8" numFmtId="4" xfId="0" applyAlignment="1" applyFont="1" applyNumberFormat="1">
      <alignment shrinkToFit="0" wrapText="1"/>
    </xf>
    <xf borderId="1" fillId="0" fontId="8" numFmtId="9" xfId="0" applyAlignment="1" applyBorder="1" applyFont="1" applyNumberFormat="1">
      <alignment shrinkToFit="0" wrapText="1"/>
    </xf>
    <xf borderId="4" fillId="0" fontId="3" numFmtId="0" xfId="0" applyAlignment="1" applyBorder="1" applyFont="1">
      <alignment readingOrder="0" shrinkToFit="0" vertical="top" wrapText="1"/>
    </xf>
    <xf borderId="4" fillId="0" fontId="12" numFmtId="0" xfId="0" applyAlignment="1" applyBorder="1" applyFont="1">
      <alignment shrinkToFit="0" vertical="top" wrapText="1"/>
    </xf>
    <xf borderId="0" fillId="0" fontId="8" numFmtId="9" xfId="0" applyAlignment="1" applyFont="1" applyNumberFormat="1">
      <alignment shrinkToFit="0" wrapText="1"/>
    </xf>
    <xf borderId="4" fillId="0" fontId="9" numFmtId="0" xfId="0" applyAlignment="1" applyBorder="1" applyFont="1">
      <alignment shrinkToFit="0" wrapText="1"/>
    </xf>
    <xf borderId="4" fillId="0" fontId="7" numFmtId="0" xfId="0" applyAlignment="1" applyBorder="1" applyFont="1">
      <alignment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43"/>
    <col customWidth="1" min="2" max="2" width="12.14"/>
    <col customWidth="1" min="3" max="3" width="11.14"/>
    <col customWidth="1" min="4" max="4" width="12.43"/>
    <col customWidth="1" min="5" max="5" width="13.57"/>
    <col customWidth="1" min="6" max="6" width="14.86"/>
    <col customWidth="1" min="7" max="7" width="13.43"/>
    <col customWidth="1" min="8" max="8" width="11.29"/>
    <col customWidth="1" min="9" max="21" width="17.29"/>
  </cols>
  <sheetData>
    <row r="1">
      <c r="A1" s="1" t="s">
        <v>0</v>
      </c>
      <c r="B1" s="2" t="s">
        <v>1</v>
      </c>
      <c r="C1" s="4" t="s">
        <v>2</v>
      </c>
      <c r="D1" s="4" t="s">
        <v>3</v>
      </c>
      <c r="E1" s="4" t="s">
        <v>4</v>
      </c>
      <c r="F1" s="4" t="s">
        <v>5</v>
      </c>
      <c r="G1" s="4" t="s">
        <v>6</v>
      </c>
      <c r="H1" s="4" t="s">
        <v>7</v>
      </c>
      <c r="I1" s="6"/>
      <c r="J1" s="6"/>
      <c r="K1" s="6"/>
      <c r="L1" s="6"/>
      <c r="M1" s="6"/>
      <c r="N1" s="6"/>
      <c r="O1" s="6"/>
      <c r="P1" s="6"/>
      <c r="Q1" s="6"/>
      <c r="R1" s="6"/>
      <c r="S1" s="6"/>
      <c r="T1" s="6"/>
      <c r="U1" s="6"/>
    </row>
    <row r="2">
      <c r="A2" s="7" t="s">
        <v>8</v>
      </c>
      <c r="B2" s="8"/>
      <c r="C2" s="9" t="s">
        <v>9</v>
      </c>
      <c r="E2" s="9" t="s">
        <v>10</v>
      </c>
      <c r="G2" s="9" t="s">
        <v>11</v>
      </c>
    </row>
    <row r="3">
      <c r="A3" s="7" t="s">
        <v>12</v>
      </c>
      <c r="B3" s="8"/>
      <c r="C3" s="9" t="s">
        <v>13</v>
      </c>
      <c r="E3" s="9" t="s">
        <v>14</v>
      </c>
    </row>
    <row r="4">
      <c r="A4" s="7" t="s">
        <v>15</v>
      </c>
      <c r="B4" s="8"/>
      <c r="F4" s="9" t="s">
        <v>16</v>
      </c>
      <c r="H4" s="9" t="s">
        <v>17</v>
      </c>
    </row>
    <row r="5">
      <c r="A5" s="7" t="s">
        <v>18</v>
      </c>
      <c r="B5" s="8"/>
      <c r="E5" s="9" t="s">
        <v>19</v>
      </c>
      <c r="F5" s="9" t="s">
        <v>20</v>
      </c>
    </row>
    <row r="6">
      <c r="A6" s="7" t="s">
        <v>21</v>
      </c>
      <c r="B6" s="8"/>
    </row>
    <row r="7">
      <c r="A7" s="7" t="s">
        <v>22</v>
      </c>
      <c r="B7" s="8"/>
      <c r="E7" s="11" t="s">
        <v>23</v>
      </c>
      <c r="F7" s="11" t="s">
        <v>24</v>
      </c>
      <c r="H7" s="11" t="s">
        <v>25</v>
      </c>
    </row>
    <row r="8">
      <c r="A8" s="7" t="s">
        <v>26</v>
      </c>
      <c r="B8" s="12" t="s">
        <v>27</v>
      </c>
      <c r="D8" s="9" t="s">
        <v>28</v>
      </c>
      <c r="E8" s="9" t="s">
        <v>29</v>
      </c>
      <c r="F8" s="9" t="s">
        <v>30</v>
      </c>
    </row>
    <row r="9">
      <c r="A9" s="7" t="s">
        <v>31</v>
      </c>
      <c r="B9" s="12" t="s">
        <v>32</v>
      </c>
      <c r="D9" s="9" t="s">
        <v>33</v>
      </c>
      <c r="E9" s="9" t="s">
        <v>34</v>
      </c>
      <c r="F9" s="9" t="s">
        <v>35</v>
      </c>
      <c r="G9" s="9" t="s">
        <v>36</v>
      </c>
    </row>
    <row r="10">
      <c r="A10" s="7" t="s">
        <v>37</v>
      </c>
      <c r="B10" s="8"/>
      <c r="C10" s="9" t="s">
        <v>38</v>
      </c>
      <c r="D10" s="9" t="s">
        <v>39</v>
      </c>
      <c r="E10" s="9" t="s">
        <v>40</v>
      </c>
      <c r="F10" s="9" t="s">
        <v>41</v>
      </c>
      <c r="G10" s="9" t="s">
        <v>42</v>
      </c>
    </row>
    <row r="11">
      <c r="A11" s="7" t="s">
        <v>43</v>
      </c>
      <c r="B11" s="8"/>
      <c r="C11" s="11" t="s">
        <v>44</v>
      </c>
      <c r="D11" s="9" t="s">
        <v>45</v>
      </c>
      <c r="E11" s="11" t="s">
        <v>46</v>
      </c>
      <c r="F11" s="11" t="s">
        <v>47</v>
      </c>
      <c r="G11" s="11" t="s">
        <v>48</v>
      </c>
      <c r="H11" s="11" t="s">
        <v>49</v>
      </c>
    </row>
    <row r="12">
      <c r="A12" s="14"/>
      <c r="B12" s="8"/>
    </row>
    <row r="13">
      <c r="A13" s="14"/>
      <c r="B13" s="8"/>
    </row>
    <row r="14">
      <c r="A14" s="14"/>
      <c r="B14" s="8"/>
    </row>
    <row r="15">
      <c r="A15" s="14"/>
      <c r="B15" s="8"/>
    </row>
    <row r="16">
      <c r="A16" s="14"/>
      <c r="B16" s="8"/>
    </row>
    <row r="17">
      <c r="A17" s="14"/>
      <c r="B17" s="8"/>
    </row>
    <row r="18">
      <c r="A18" s="14"/>
      <c r="B18" s="8"/>
    </row>
    <row r="19">
      <c r="A19" s="14"/>
      <c r="B19" s="8"/>
    </row>
    <row r="20">
      <c r="A20" s="14"/>
      <c r="B20" s="8"/>
    </row>
    <row r="21">
      <c r="A21" s="14"/>
      <c r="B21" s="8"/>
    </row>
    <row r="22">
      <c r="A22" s="14"/>
      <c r="B22" s="8"/>
    </row>
    <row r="23">
      <c r="A23" s="14"/>
      <c r="B23" s="8"/>
    </row>
    <row r="24">
      <c r="A24" s="14"/>
      <c r="B24" s="8"/>
    </row>
    <row r="25">
      <c r="A25" s="14"/>
      <c r="B25" s="8"/>
    </row>
    <row r="26">
      <c r="A26" s="14"/>
      <c r="B26" s="8"/>
    </row>
    <row r="27">
      <c r="A27" s="14"/>
      <c r="B27" s="8"/>
    </row>
    <row r="28">
      <c r="A28" s="14"/>
      <c r="B28" s="8"/>
    </row>
    <row r="29">
      <c r="A29" s="14"/>
      <c r="B29" s="8"/>
    </row>
    <row r="30">
      <c r="A30" s="14"/>
      <c r="B30" s="8"/>
    </row>
    <row r="31">
      <c r="A31" s="14"/>
      <c r="B31" s="8"/>
    </row>
    <row r="32">
      <c r="A32" s="14"/>
      <c r="B32" s="8"/>
    </row>
    <row r="33">
      <c r="A33" s="14"/>
      <c r="B33" s="8"/>
    </row>
    <row r="34">
      <c r="A34" s="14"/>
      <c r="B34" s="8"/>
    </row>
    <row r="35">
      <c r="A35" s="14"/>
      <c r="B35" s="8"/>
    </row>
    <row r="36">
      <c r="A36" s="14"/>
      <c r="B36" s="8"/>
    </row>
    <row r="37">
      <c r="A37" s="14"/>
      <c r="B37" s="8"/>
    </row>
    <row r="38">
      <c r="A38" s="14"/>
      <c r="B38" s="8"/>
    </row>
    <row r="39">
      <c r="A39" s="14"/>
      <c r="B39" s="8"/>
    </row>
    <row r="40">
      <c r="A40" s="14"/>
      <c r="B40" s="8"/>
    </row>
    <row r="41">
      <c r="A41" s="14"/>
      <c r="B41" s="8"/>
    </row>
    <row r="42">
      <c r="A42" s="14"/>
      <c r="B42" s="8"/>
    </row>
    <row r="43">
      <c r="A43" s="14"/>
      <c r="B43" s="8"/>
    </row>
    <row r="44">
      <c r="A44" s="14"/>
      <c r="B44" s="8"/>
    </row>
    <row r="45">
      <c r="A45" s="14"/>
      <c r="B45" s="8"/>
    </row>
    <row r="46">
      <c r="A46" s="14"/>
      <c r="B46" s="8"/>
    </row>
    <row r="47">
      <c r="A47" s="14"/>
      <c r="B47" s="8"/>
    </row>
    <row r="48">
      <c r="A48" s="14"/>
      <c r="B48" s="8"/>
    </row>
    <row r="49">
      <c r="A49" s="14"/>
      <c r="B49" s="8"/>
    </row>
    <row r="50">
      <c r="A50" s="14"/>
      <c r="B50" s="8"/>
    </row>
    <row r="51">
      <c r="A51" s="14"/>
      <c r="B51" s="8"/>
    </row>
    <row r="52">
      <c r="A52" s="14"/>
      <c r="B52" s="8"/>
    </row>
    <row r="53">
      <c r="A53" s="14"/>
      <c r="B53" s="8"/>
    </row>
    <row r="54">
      <c r="A54" s="14"/>
      <c r="B54" s="8"/>
    </row>
    <row r="55">
      <c r="A55" s="14"/>
      <c r="B55" s="8"/>
    </row>
    <row r="56">
      <c r="A56" s="14"/>
      <c r="B56" s="8"/>
    </row>
    <row r="57">
      <c r="A57" s="14"/>
      <c r="B57" s="8"/>
    </row>
    <row r="58">
      <c r="A58" s="14"/>
      <c r="B58" s="8"/>
    </row>
    <row r="59">
      <c r="A59" s="14"/>
      <c r="B59" s="8"/>
    </row>
    <row r="60">
      <c r="A60" s="14"/>
      <c r="B60" s="8"/>
    </row>
    <row r="61">
      <c r="A61" s="14"/>
      <c r="B61" s="8"/>
    </row>
    <row r="62">
      <c r="A62" s="14"/>
      <c r="B62" s="8"/>
    </row>
    <row r="63">
      <c r="A63" s="14"/>
      <c r="B63" s="8"/>
    </row>
    <row r="64">
      <c r="A64" s="14"/>
      <c r="B64" s="8"/>
    </row>
    <row r="65">
      <c r="A65" s="14"/>
      <c r="B65" s="8"/>
    </row>
    <row r="66">
      <c r="A66" s="14"/>
      <c r="B66" s="8"/>
    </row>
    <row r="67">
      <c r="A67" s="14"/>
      <c r="B67" s="8"/>
    </row>
    <row r="68">
      <c r="A68" s="14"/>
      <c r="B68" s="8"/>
    </row>
    <row r="69">
      <c r="A69" s="14"/>
      <c r="B69" s="8"/>
    </row>
    <row r="70">
      <c r="A70" s="14"/>
      <c r="B70" s="8"/>
    </row>
    <row r="71">
      <c r="A71" s="14"/>
      <c r="B71" s="8"/>
    </row>
    <row r="72">
      <c r="A72" s="14"/>
      <c r="B72" s="8"/>
    </row>
    <row r="73">
      <c r="A73" s="14"/>
      <c r="B73" s="8"/>
    </row>
    <row r="74">
      <c r="A74" s="14"/>
      <c r="B74" s="8"/>
    </row>
    <row r="75">
      <c r="A75" s="14"/>
      <c r="B75" s="8"/>
    </row>
    <row r="76">
      <c r="A76" s="14"/>
      <c r="B76" s="8"/>
    </row>
    <row r="77">
      <c r="A77" s="14"/>
      <c r="B77" s="8"/>
    </row>
    <row r="78">
      <c r="A78" s="14"/>
      <c r="B78" s="8"/>
    </row>
    <row r="79">
      <c r="A79" s="14"/>
      <c r="B79" s="8"/>
    </row>
    <row r="80">
      <c r="A80" s="14"/>
      <c r="B80" s="8"/>
    </row>
    <row r="81">
      <c r="A81" s="14"/>
      <c r="B81" s="8"/>
    </row>
    <row r="82">
      <c r="A82" s="14"/>
      <c r="B82" s="8"/>
    </row>
    <row r="83">
      <c r="A83" s="14"/>
      <c r="B83" s="8"/>
    </row>
    <row r="84">
      <c r="A84" s="14"/>
      <c r="B84" s="8"/>
    </row>
    <row r="85">
      <c r="A85" s="14"/>
      <c r="B85" s="8"/>
    </row>
    <row r="86">
      <c r="A86" s="14"/>
      <c r="B86" s="8"/>
    </row>
    <row r="87">
      <c r="A87" s="14"/>
      <c r="B87" s="8"/>
    </row>
    <row r="88">
      <c r="A88" s="14"/>
      <c r="B88" s="8"/>
    </row>
    <row r="89">
      <c r="A89" s="14"/>
      <c r="B89" s="8"/>
    </row>
    <row r="90">
      <c r="A90" s="14"/>
      <c r="B90" s="8"/>
    </row>
    <row r="91">
      <c r="A91" s="14"/>
      <c r="B91" s="8"/>
    </row>
    <row r="92">
      <c r="A92" s="14"/>
      <c r="B92" s="8"/>
    </row>
    <row r="93">
      <c r="A93" s="14"/>
      <c r="B93" s="8"/>
    </row>
    <row r="94">
      <c r="A94" s="14"/>
      <c r="B94" s="8"/>
    </row>
    <row r="95">
      <c r="A95" s="14"/>
      <c r="B95" s="8"/>
    </row>
    <row r="96">
      <c r="A96" s="14"/>
      <c r="B96" s="8"/>
    </row>
    <row r="97">
      <c r="A97" s="14"/>
      <c r="B97" s="8"/>
    </row>
    <row r="98">
      <c r="A98" s="14"/>
      <c r="B98" s="8"/>
    </row>
    <row r="99">
      <c r="A99" s="14"/>
      <c r="B99" s="8"/>
    </row>
    <row r="100">
      <c r="A100" s="14"/>
      <c r="B1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6.0" ySplit="12.0" topLeftCell="G13" activePane="bottomRight" state="frozen"/>
      <selection activeCell="G1" sqref="G1" pane="topRight"/>
      <selection activeCell="A13" sqref="A13" pane="bottomLeft"/>
      <selection activeCell="G13" sqref="G13" pane="bottomRight"/>
    </sheetView>
  </sheetViews>
  <sheetFormatPr customHeight="1" defaultColWidth="14.43" defaultRowHeight="12.75"/>
  <cols>
    <col customWidth="1" min="1" max="1" width="2.0"/>
    <col customWidth="1" min="2" max="2" width="2.29"/>
    <col customWidth="1" min="3" max="3" width="3.14"/>
    <col customWidth="1" min="4" max="4" width="17.29"/>
    <col customWidth="1" min="5" max="5" width="3.14"/>
    <col customWidth="1" min="6" max="6" width="7.14"/>
    <col customWidth="1" min="7" max="7" width="2.86"/>
    <col customWidth="1" min="8" max="8" width="3.43"/>
    <col customWidth="1" min="9" max="9" width="3.29"/>
    <col customWidth="1" min="10" max="10" width="2.71"/>
    <col customWidth="1" min="11" max="11" width="3.43"/>
    <col customWidth="1" min="12" max="12" width="5.0"/>
    <col customWidth="1" min="13" max="13" width="4.14"/>
    <col customWidth="1" min="14" max="14" width="7.43"/>
    <col customWidth="1" min="15" max="15" width="5.29"/>
    <col customWidth="1" min="16" max="16" width="4.0"/>
    <col customWidth="1" min="17" max="17" width="4.71"/>
    <col customWidth="1" min="18" max="18" width="8.86"/>
    <col customWidth="1" min="19" max="19" width="11.14"/>
    <col customWidth="1" min="20" max="20" width="3.57"/>
    <col customWidth="1" min="21" max="22" width="2.71"/>
    <col customWidth="1" min="23" max="23" width="3.43"/>
    <col customWidth="1" min="24" max="31" width="3.14"/>
    <col customWidth="1" min="32" max="32" width="5.0"/>
    <col customWidth="1" min="33" max="33" width="10.71"/>
    <col customWidth="1" min="34" max="34" width="15.71"/>
    <col customWidth="1" min="35" max="35" width="5.29"/>
    <col customWidth="1" min="36" max="36" width="26.14"/>
    <col customWidth="1" min="37" max="37" width="28.0"/>
  </cols>
  <sheetData>
    <row r="1">
      <c r="A1" s="3"/>
      <c r="B1" s="5">
        <v>35.0</v>
      </c>
      <c r="C1" s="10">
        <f t="array" ref="C1">INDEX('Import git'!A$2:C$38,$B1,1)</f>
        <v>33</v>
      </c>
      <c r="D1" s="10" t="str">
        <f t="array" ref="D1">INDEX('Import git'!D$2:D$38,$B1)</f>
        <v>Lothar le guerrier</v>
      </c>
      <c r="E1" s="13" t="str">
        <f t="array" ref="E1">INDEX('Import git'!F$2:F$38,$B1)</f>
        <v>X</v>
      </c>
      <c r="F1" s="13" t="str">
        <f t="array" ref="F1">INDEX('Import git'!G$2:G$38,$B1)</f>
        <v/>
      </c>
      <c r="G1" s="13">
        <f t="array" ref="G1">INDEX('Import git'!H$2:H$38,$B1)</f>
        <v>2</v>
      </c>
      <c r="H1" s="13" t="str">
        <f t="array" ref="H1">INDEX('Import git'!I$2:I$38,$B1)</f>
        <v/>
      </c>
      <c r="I1" s="13">
        <f t="array" ref="I1">INDEX('Import git'!J$2:J$38,$B1)</f>
        <v>0</v>
      </c>
      <c r="J1" s="13">
        <f t="array" ref="J1">INDEX('Import git'!K$2:K$38,$B1)</f>
        <v>10</v>
      </c>
      <c r="K1" s="13">
        <f t="array" ref="K1">INDEX('Import git'!L$2:L$38,$B1)</f>
        <v>0</v>
      </c>
      <c r="L1" s="13" t="str">
        <f t="array" ref="L1">INDEX('Import git'!M$2:M$38,$B1)</f>
        <v/>
      </c>
      <c r="N1" s="8"/>
      <c r="P1" s="9">
        <v>2.0</v>
      </c>
      <c r="Q1" s="9">
        <v>2.0</v>
      </c>
      <c r="AG1" s="15"/>
      <c r="AJ1" s="16"/>
      <c r="AK1" s="3"/>
    </row>
    <row r="2">
      <c r="A2" s="3"/>
      <c r="B2" s="3"/>
      <c r="E2" s="17"/>
      <c r="F2" s="17"/>
      <c r="G2" s="17"/>
      <c r="H2" s="17"/>
      <c r="I2" s="17"/>
      <c r="J2" s="17"/>
      <c r="K2" s="17"/>
      <c r="L2" s="17"/>
      <c r="N2" s="8"/>
      <c r="S2" s="7" t="s">
        <v>50</v>
      </c>
      <c r="T2" s="9">
        <v>-2.0</v>
      </c>
      <c r="U2" s="9">
        <v>-1.0</v>
      </c>
      <c r="V2" s="9">
        <v>-1.0</v>
      </c>
      <c r="X2" s="9">
        <v>1.0</v>
      </c>
      <c r="Y2" s="9">
        <v>0.0</v>
      </c>
      <c r="Z2" s="9">
        <v>2.0</v>
      </c>
      <c r="AA2" s="9">
        <v>2.0</v>
      </c>
      <c r="AB2" s="9">
        <v>0.0</v>
      </c>
      <c r="AC2" s="9">
        <v>1.0</v>
      </c>
      <c r="AD2" s="9">
        <v>2.0</v>
      </c>
      <c r="AE2" s="9">
        <v>3.0</v>
      </c>
      <c r="AG2" s="15"/>
      <c r="AJ2" s="16"/>
      <c r="AK2" s="3"/>
    </row>
    <row r="3">
      <c r="A3" s="3"/>
      <c r="B3" s="3"/>
      <c r="E3" s="17"/>
      <c r="F3" s="17"/>
      <c r="G3" s="17"/>
      <c r="H3" s="17"/>
      <c r="I3" s="17"/>
      <c r="J3" s="17"/>
      <c r="K3" s="17"/>
      <c r="L3" s="17"/>
      <c r="N3" s="8"/>
      <c r="S3" s="7" t="s">
        <v>51</v>
      </c>
      <c r="T3" s="9">
        <v>0.0</v>
      </c>
      <c r="U3" s="9">
        <v>0.0</v>
      </c>
      <c r="V3" s="9">
        <v>0.0</v>
      </c>
      <c r="X3" s="9">
        <v>0.0</v>
      </c>
      <c r="Y3" s="9">
        <v>1.0</v>
      </c>
      <c r="Z3" s="9">
        <v>0.0</v>
      </c>
      <c r="AA3" s="9">
        <v>1.0</v>
      </c>
      <c r="AB3" s="9">
        <v>2.0</v>
      </c>
      <c r="AC3" s="9">
        <v>2.0</v>
      </c>
      <c r="AD3" s="9">
        <v>2.0</v>
      </c>
      <c r="AE3" s="9">
        <v>3.0</v>
      </c>
      <c r="AG3" s="15"/>
      <c r="AJ3" s="16"/>
      <c r="AK3" s="3"/>
    </row>
    <row r="4">
      <c r="A4" s="3"/>
      <c r="B4" s="3"/>
      <c r="E4" s="17"/>
      <c r="F4" s="17"/>
      <c r="G4" s="17"/>
      <c r="H4" s="17"/>
      <c r="I4" s="17"/>
      <c r="J4" s="17"/>
      <c r="K4" s="17"/>
      <c r="L4" s="17"/>
      <c r="N4" s="8"/>
      <c r="S4" s="18" t="s">
        <v>52</v>
      </c>
      <c r="T4" s="19">
        <v>-1.0</v>
      </c>
      <c r="U4" s="19">
        <v>-1.0</v>
      </c>
      <c r="V4" s="19">
        <v>0.0</v>
      </c>
      <c r="W4" s="20"/>
      <c r="X4" s="19">
        <v>1.0</v>
      </c>
      <c r="Y4" s="21">
        <f>X4</f>
        <v>1</v>
      </c>
      <c r="Z4" s="19">
        <v>2.0</v>
      </c>
      <c r="AA4" s="21">
        <f t="shared" ref="AA4:AC4" si="1">Z4</f>
        <v>2</v>
      </c>
      <c r="AB4" s="21">
        <f t="shared" si="1"/>
        <v>2</v>
      </c>
      <c r="AC4" s="21">
        <f t="shared" si="1"/>
        <v>2</v>
      </c>
      <c r="AD4" s="19">
        <v>3.0</v>
      </c>
      <c r="AE4" s="19">
        <v>4.0</v>
      </c>
      <c r="AF4" s="20"/>
      <c r="AG4" s="22"/>
      <c r="AH4" s="20"/>
      <c r="AJ4" s="16"/>
      <c r="AK4" s="3"/>
    </row>
    <row r="5">
      <c r="A5" s="3"/>
      <c r="B5" s="3"/>
      <c r="E5" s="17"/>
      <c r="F5" s="17"/>
      <c r="G5" s="17"/>
      <c r="H5" s="17"/>
      <c r="I5" s="17"/>
      <c r="J5" s="17"/>
      <c r="K5" s="17"/>
      <c r="L5" s="17"/>
      <c r="N5" s="8"/>
      <c r="R5" s="23"/>
      <c r="S5" s="24" t="s">
        <v>53</v>
      </c>
      <c r="T5" s="25">
        <f t="shared" ref="T5:V5" si="2">$W5+T2</f>
        <v>0</v>
      </c>
      <c r="U5" s="25">
        <f t="shared" si="2"/>
        <v>1</v>
      </c>
      <c r="V5" s="25">
        <f t="shared" si="2"/>
        <v>1</v>
      </c>
      <c r="W5" s="27">
        <f>G1</f>
        <v>2</v>
      </c>
      <c r="X5" s="25">
        <f t="shared" ref="X5:AE5" si="3">$W5+X2</f>
        <v>3</v>
      </c>
      <c r="Y5" s="25">
        <f t="shared" si="3"/>
        <v>2</v>
      </c>
      <c r="Z5" s="25">
        <f t="shared" si="3"/>
        <v>4</v>
      </c>
      <c r="AA5" s="25">
        <f t="shared" si="3"/>
        <v>4</v>
      </c>
      <c r="AB5" s="25">
        <f t="shared" si="3"/>
        <v>2</v>
      </c>
      <c r="AC5" s="25">
        <f t="shared" si="3"/>
        <v>3</v>
      </c>
      <c r="AD5" s="25">
        <f t="shared" si="3"/>
        <v>4</v>
      </c>
      <c r="AE5" s="25">
        <f t="shared" si="3"/>
        <v>5</v>
      </c>
      <c r="AF5" s="32"/>
      <c r="AG5" s="33"/>
      <c r="AH5" s="34"/>
      <c r="AI5" s="36"/>
      <c r="AJ5" s="16"/>
      <c r="AK5" s="3"/>
    </row>
    <row r="6">
      <c r="A6" s="3"/>
      <c r="B6" s="3"/>
      <c r="E6" s="17"/>
      <c r="F6" s="17"/>
      <c r="G6" s="17"/>
      <c r="H6" s="17"/>
      <c r="I6" s="17"/>
      <c r="J6" s="17"/>
      <c r="K6" s="17"/>
      <c r="L6" s="17"/>
      <c r="N6" s="8"/>
      <c r="R6" s="23"/>
      <c r="S6" s="38" t="s">
        <v>79</v>
      </c>
      <c r="T6" s="41">
        <f t="shared" ref="T6:V6" si="4">$W6+T3</f>
        <v>0</v>
      </c>
      <c r="U6" s="41">
        <f t="shared" si="4"/>
        <v>0</v>
      </c>
      <c r="V6" s="41">
        <f t="shared" si="4"/>
        <v>0</v>
      </c>
      <c r="W6" s="10">
        <f>I1</f>
        <v>0</v>
      </c>
      <c r="X6" s="41">
        <f t="shared" ref="X6:AE6" si="5">$W6+X3</f>
        <v>0</v>
      </c>
      <c r="Y6" s="41">
        <f t="shared" si="5"/>
        <v>1</v>
      </c>
      <c r="Z6" s="41">
        <f t="shared" si="5"/>
        <v>0</v>
      </c>
      <c r="AA6" s="41">
        <f t="shared" si="5"/>
        <v>1</v>
      </c>
      <c r="AB6" s="41">
        <f t="shared" si="5"/>
        <v>2</v>
      </c>
      <c r="AC6" s="41">
        <f t="shared" si="5"/>
        <v>2</v>
      </c>
      <c r="AD6" s="41">
        <f t="shared" si="5"/>
        <v>2</v>
      </c>
      <c r="AE6" s="41">
        <f t="shared" si="5"/>
        <v>3</v>
      </c>
      <c r="AG6" s="15"/>
      <c r="AH6" s="23"/>
      <c r="AI6" s="36"/>
      <c r="AJ6" s="16"/>
      <c r="AK6" s="3"/>
    </row>
    <row r="7">
      <c r="A7" s="3"/>
      <c r="B7" s="3"/>
      <c r="E7" s="17"/>
      <c r="F7" s="17"/>
      <c r="G7" s="17"/>
      <c r="H7" s="17"/>
      <c r="I7" s="17"/>
      <c r="J7" s="17"/>
      <c r="K7" s="17"/>
      <c r="L7" s="17"/>
      <c r="N7" s="8"/>
      <c r="R7" s="23"/>
      <c r="S7" s="38" t="s">
        <v>112</v>
      </c>
      <c r="T7" s="41">
        <f t="shared" ref="T7:V7" si="6">$W7+T4</f>
        <v>9</v>
      </c>
      <c r="U7" s="41">
        <f t="shared" si="6"/>
        <v>9</v>
      </c>
      <c r="V7" s="41">
        <f t="shared" si="6"/>
        <v>10</v>
      </c>
      <c r="W7" s="10">
        <f>J1</f>
        <v>10</v>
      </c>
      <c r="X7" s="41">
        <f t="shared" ref="X7:AE7" si="7">$W7+X4</f>
        <v>11</v>
      </c>
      <c r="Y7" s="41">
        <f t="shared" si="7"/>
        <v>11</v>
      </c>
      <c r="Z7" s="41">
        <f t="shared" si="7"/>
        <v>12</v>
      </c>
      <c r="AA7" s="41">
        <f t="shared" si="7"/>
        <v>12</v>
      </c>
      <c r="AB7" s="41">
        <f t="shared" si="7"/>
        <v>12</v>
      </c>
      <c r="AC7" s="41">
        <f t="shared" si="7"/>
        <v>12</v>
      </c>
      <c r="AD7" s="41">
        <f t="shared" si="7"/>
        <v>13</v>
      </c>
      <c r="AE7" s="41">
        <f t="shared" si="7"/>
        <v>14</v>
      </c>
      <c r="AG7" s="15"/>
      <c r="AH7" s="23"/>
      <c r="AI7" s="36"/>
      <c r="AJ7" s="16"/>
      <c r="AK7" s="3"/>
    </row>
    <row r="8">
      <c r="A8" s="3"/>
      <c r="B8" s="3"/>
      <c r="E8" s="17"/>
      <c r="F8" s="17"/>
      <c r="G8" s="17"/>
      <c r="H8" s="17"/>
      <c r="I8" s="17"/>
      <c r="J8" s="17"/>
      <c r="K8" s="17"/>
      <c r="L8" s="17"/>
      <c r="N8" s="8"/>
      <c r="R8" s="23"/>
      <c r="S8" s="42" t="s">
        <v>65</v>
      </c>
      <c r="T8" s="43">
        <f t="shared" ref="T8:V8" si="8">U8</f>
        <v>0</v>
      </c>
      <c r="U8" s="43">
        <f t="shared" si="8"/>
        <v>0</v>
      </c>
      <c r="V8" s="43">
        <f t="shared" si="8"/>
        <v>0</v>
      </c>
      <c r="W8" s="19">
        <v>0.0</v>
      </c>
      <c r="X8" s="43">
        <f t="shared" ref="X8:Z8" si="9">W8</f>
        <v>0</v>
      </c>
      <c r="Y8" s="43">
        <f t="shared" si="9"/>
        <v>0</v>
      </c>
      <c r="Z8" s="43">
        <f t="shared" si="9"/>
        <v>0</v>
      </c>
      <c r="AA8" s="43">
        <f>Z8+1</f>
        <v>1</v>
      </c>
      <c r="AB8" s="43">
        <f t="shared" ref="AB8:AD8" si="10">AA8</f>
        <v>1</v>
      </c>
      <c r="AC8" s="43">
        <f t="shared" si="10"/>
        <v>1</v>
      </c>
      <c r="AD8" s="43">
        <f t="shared" si="10"/>
        <v>1</v>
      </c>
      <c r="AE8" s="43">
        <f>AD8+1</f>
        <v>2</v>
      </c>
      <c r="AF8" s="20"/>
      <c r="AG8" s="22"/>
      <c r="AH8" s="44"/>
      <c r="AI8" s="36"/>
      <c r="AJ8" s="16"/>
      <c r="AK8" s="3"/>
    </row>
    <row r="9">
      <c r="A9" s="3"/>
      <c r="B9" s="3"/>
      <c r="E9" s="17"/>
      <c r="F9" s="17"/>
      <c r="G9" s="17"/>
      <c r="H9" s="17"/>
      <c r="I9" s="17"/>
      <c r="J9" s="17"/>
      <c r="K9" s="17"/>
      <c r="L9" s="17"/>
      <c r="N9" s="8"/>
      <c r="S9" s="45"/>
      <c r="T9" s="32"/>
      <c r="U9" s="32"/>
      <c r="V9" s="32"/>
      <c r="W9" s="32"/>
      <c r="X9" s="32"/>
      <c r="Y9" s="32"/>
      <c r="Z9" s="32"/>
      <c r="AA9" s="32"/>
      <c r="AB9" s="32"/>
      <c r="AC9" s="32"/>
      <c r="AD9" s="32"/>
      <c r="AE9" s="32"/>
      <c r="AF9" s="32"/>
      <c r="AG9" s="33"/>
      <c r="AH9" s="32"/>
      <c r="AJ9" s="16"/>
      <c r="AK9" s="3"/>
    </row>
    <row r="10">
      <c r="A10" s="3"/>
      <c r="B10" s="3"/>
      <c r="E10" s="17"/>
      <c r="F10" s="17"/>
      <c r="G10" s="17"/>
      <c r="H10" s="17"/>
      <c r="I10" s="17"/>
      <c r="J10" s="17"/>
      <c r="K10" s="17"/>
      <c r="L10" s="17"/>
      <c r="N10" s="8"/>
      <c r="S10" s="7" t="s">
        <v>215</v>
      </c>
      <c r="T10" s="10">
        <f t="shared" ref="T10:AE10" si="11">T5+T6+T8</f>
        <v>0</v>
      </c>
      <c r="U10" s="10">
        <f t="shared" si="11"/>
        <v>1</v>
      </c>
      <c r="V10" s="10">
        <f t="shared" si="11"/>
        <v>1</v>
      </c>
      <c r="W10" s="10">
        <f t="shared" si="11"/>
        <v>2</v>
      </c>
      <c r="X10" s="10">
        <f t="shared" si="11"/>
        <v>3</v>
      </c>
      <c r="Y10" s="10">
        <f t="shared" si="11"/>
        <v>3</v>
      </c>
      <c r="Z10" s="10">
        <f t="shared" si="11"/>
        <v>4</v>
      </c>
      <c r="AA10" s="10">
        <f t="shared" si="11"/>
        <v>6</v>
      </c>
      <c r="AB10" s="10">
        <f t="shared" si="11"/>
        <v>5</v>
      </c>
      <c r="AC10" s="10">
        <f t="shared" si="11"/>
        <v>6</v>
      </c>
      <c r="AD10" s="10">
        <f t="shared" si="11"/>
        <v>7</v>
      </c>
      <c r="AE10" s="10">
        <f t="shared" si="11"/>
        <v>10</v>
      </c>
      <c r="AG10" s="15"/>
      <c r="AJ10" s="16"/>
      <c r="AK10" s="3"/>
    </row>
    <row r="11">
      <c r="A11" s="3"/>
      <c r="B11" s="3"/>
      <c r="E11" s="17"/>
      <c r="F11" s="17"/>
      <c r="G11" s="17"/>
      <c r="H11" s="17"/>
      <c r="I11" s="17"/>
      <c r="J11" s="17"/>
      <c r="K11" s="17"/>
      <c r="L11" s="17"/>
      <c r="N11" s="8"/>
      <c r="AG11" s="15"/>
      <c r="AJ11" s="16"/>
      <c r="AK11" s="3"/>
    </row>
    <row r="12">
      <c r="A12" s="46">
        <v>3.0</v>
      </c>
      <c r="B12" s="47"/>
      <c r="C12" s="48" t="str">
        <f>'Import git'!A1</f>
        <v>id</v>
      </c>
      <c r="D12" s="48" t="str">
        <f>'Import git'!D1</f>
        <v>Nom</v>
      </c>
      <c r="E12" s="49" t="str">
        <f>'Import git'!F1</f>
        <v>niv</v>
      </c>
      <c r="F12" s="49" t="str">
        <f>'Import git'!G1</f>
        <v>niv_salle</v>
      </c>
      <c r="G12" s="49" t="str">
        <f>'Import git'!H1</f>
        <v>att</v>
      </c>
      <c r="H12" s="49" t="str">
        <f>'Import git'!I1</f>
        <v>d_a</v>
      </c>
      <c r="I12" s="49" t="str">
        <f>'Import git'!J1</f>
        <v>def</v>
      </c>
      <c r="J12" s="49" t="str">
        <f>'Import git'!K1</f>
        <v>PV</v>
      </c>
      <c r="K12" s="49" t="str">
        <f>'Import git'!L1</f>
        <v>con</v>
      </c>
      <c r="L12" s="49" t="str">
        <f>'Import git'!M1</f>
        <v>esprit</v>
      </c>
      <c r="M12" s="20"/>
      <c r="N12" s="50" t="s">
        <v>215</v>
      </c>
      <c r="O12" s="20"/>
      <c r="P12" s="19" t="s">
        <v>218</v>
      </c>
      <c r="Q12" s="19" t="s">
        <v>219</v>
      </c>
      <c r="R12" s="20"/>
      <c r="S12" s="20"/>
      <c r="T12" s="20"/>
      <c r="U12" s="20"/>
      <c r="V12" s="20"/>
      <c r="W12" s="20"/>
      <c r="X12" s="20"/>
      <c r="Y12" s="20"/>
      <c r="Z12" s="20"/>
      <c r="AA12" s="20"/>
      <c r="AB12" s="20"/>
      <c r="AC12" s="20"/>
      <c r="AD12" s="20"/>
      <c r="AE12" s="20"/>
      <c r="AF12" s="20"/>
      <c r="AG12" s="51" t="s">
        <v>216</v>
      </c>
      <c r="AH12" s="19" t="s">
        <v>217</v>
      </c>
      <c r="AI12" s="20"/>
      <c r="AJ12" s="52"/>
      <c r="AK12" s="53" t="str">
        <f>'Import git'!P1</f>
        <v>special</v>
      </c>
    </row>
    <row r="13">
      <c r="A13" s="54"/>
      <c r="B13" s="55">
        <f>1+(ROW(B13)-ROW(B$13))/$A$12</f>
        <v>1</v>
      </c>
      <c r="C13" s="27">
        <f t="array" ref="C13">INDEX('Import git'!A$2:C$15,$B13,1)</f>
        <v>1</v>
      </c>
      <c r="D13" s="27" t="str">
        <f t="array" ref="D13">INDEX('Import git'!D$2:D$15,$B13)</f>
        <v>Araignée géante</v>
      </c>
      <c r="E13" s="56">
        <f t="array" ref="E13">INDEX('Import git'!F$2:F$15,$B13)</f>
        <v>1</v>
      </c>
      <c r="F13" s="56" t="str">
        <f t="array" ref="F13">INDEX('Import git'!G$2:G$15,$B13)</f>
        <v>1</v>
      </c>
      <c r="G13" s="56">
        <f t="array" ref="G13">INDEX('Import git'!H$2:H$15,$B13)</f>
        <v>1</v>
      </c>
      <c r="H13" s="56">
        <f t="array" ref="H13">INDEX('Import git'!I$2:I$15,$B13)</f>
        <v>1</v>
      </c>
      <c r="I13" s="56">
        <f t="array" ref="I13">INDEX('Import git'!J$2:J$15,$B13)</f>
        <v>0</v>
      </c>
      <c r="J13" s="56">
        <f t="array" ref="J13">INDEX('Import git'!K$2:K$15,$B13)</f>
        <v>4</v>
      </c>
      <c r="K13" s="56">
        <f t="array" ref="K13">INDEX('Import git'!L$2:L$15,$B13)</f>
        <v>0</v>
      </c>
      <c r="L13" s="56" t="str">
        <f t="array" ref="L13">INDEX('Import git'!M$2:M$15,$B13)</f>
        <v/>
      </c>
      <c r="M13" s="32"/>
      <c r="N13" s="25">
        <f>G13+H13+I13+K13</f>
        <v>2</v>
      </c>
      <c r="O13" s="32"/>
      <c r="P13" s="58">
        <v>1.0</v>
      </c>
      <c r="Q13" s="58">
        <v>2.0</v>
      </c>
      <c r="R13" s="32"/>
      <c r="S13" s="58" t="s">
        <v>228</v>
      </c>
      <c r="T13" s="27" t="str">
        <f t="shared" ref="T13:AE13" si="12">CEILING(($J13-$K13)/(T$5-$I13-$K13), 1)</f>
        <v>#DIV/0!</v>
      </c>
      <c r="U13" s="27">
        <f t="shared" si="12"/>
        <v>4</v>
      </c>
      <c r="V13" s="27">
        <f t="shared" si="12"/>
        <v>4</v>
      </c>
      <c r="W13" s="27">
        <f t="shared" si="12"/>
        <v>2</v>
      </c>
      <c r="X13" s="27">
        <f t="shared" si="12"/>
        <v>2</v>
      </c>
      <c r="Y13" s="27">
        <f t="shared" si="12"/>
        <v>2</v>
      </c>
      <c r="Z13" s="27">
        <f t="shared" si="12"/>
        <v>1</v>
      </c>
      <c r="AA13" s="27">
        <f t="shared" si="12"/>
        <v>1</v>
      </c>
      <c r="AB13" s="27">
        <f t="shared" si="12"/>
        <v>2</v>
      </c>
      <c r="AC13" s="27">
        <f t="shared" si="12"/>
        <v>2</v>
      </c>
      <c r="AD13" s="27">
        <f t="shared" si="12"/>
        <v>1</v>
      </c>
      <c r="AE13" s="27">
        <f t="shared" si="12"/>
        <v>1</v>
      </c>
      <c r="AF13" s="32"/>
      <c r="AG13" s="60" t="s">
        <v>234</v>
      </c>
      <c r="AH13" s="60" t="s">
        <v>235</v>
      </c>
      <c r="AI13" s="32"/>
      <c r="AJ13" s="61"/>
      <c r="AK13" s="62" t="str">
        <f t="array" ref="AK13">INDEX('Import git'!P$2:P$15,$B13)</f>
        <v>&lt;u&gt;Poison&lt;/u&gt;: 1 dégât automatique</v>
      </c>
    </row>
    <row r="14">
      <c r="A14" s="3"/>
      <c r="B14" s="3"/>
      <c r="E14" s="17"/>
      <c r="F14" s="17"/>
      <c r="G14" s="17"/>
      <c r="H14" s="17"/>
      <c r="I14" s="17"/>
      <c r="J14" s="17"/>
      <c r="K14" s="17"/>
      <c r="L14" s="17"/>
      <c r="N14" s="8"/>
      <c r="S14" s="9" t="s">
        <v>236</v>
      </c>
      <c r="T14" s="10" t="str">
        <f t="shared" ref="T14:AE14" si="13">T13*MAX($H13,$G13-T$6+$H13-T$8)</f>
        <v>#DIV/0!</v>
      </c>
      <c r="U14" s="10">
        <f t="shared" si="13"/>
        <v>8</v>
      </c>
      <c r="V14" s="10">
        <f t="shared" si="13"/>
        <v>8</v>
      </c>
      <c r="W14" s="10">
        <f t="shared" si="13"/>
        <v>4</v>
      </c>
      <c r="X14" s="10">
        <f t="shared" si="13"/>
        <v>4</v>
      </c>
      <c r="Y14" s="10">
        <f t="shared" si="13"/>
        <v>2</v>
      </c>
      <c r="Z14" s="10">
        <f t="shared" si="13"/>
        <v>2</v>
      </c>
      <c r="AA14" s="10">
        <f t="shared" si="13"/>
        <v>1</v>
      </c>
      <c r="AB14" s="10">
        <f t="shared" si="13"/>
        <v>2</v>
      </c>
      <c r="AC14" s="10">
        <f t="shared" si="13"/>
        <v>2</v>
      </c>
      <c r="AD14" s="10">
        <f t="shared" si="13"/>
        <v>1</v>
      </c>
      <c r="AE14" s="10">
        <f t="shared" si="13"/>
        <v>1</v>
      </c>
      <c r="AJ14" s="16"/>
    </row>
    <row r="15" ht="18.75" customHeight="1">
      <c r="A15" s="47"/>
      <c r="B15" s="47"/>
      <c r="C15" s="20"/>
      <c r="D15" s="20"/>
      <c r="E15" s="63"/>
      <c r="F15" s="63"/>
      <c r="G15" s="63"/>
      <c r="H15" s="63"/>
      <c r="I15" s="63"/>
      <c r="J15" s="63"/>
      <c r="K15" s="63"/>
      <c r="L15" s="63"/>
      <c r="M15" s="20"/>
      <c r="N15" s="64"/>
      <c r="O15" s="20"/>
      <c r="P15" s="20"/>
      <c r="Q15" s="20"/>
      <c r="R15" s="20"/>
      <c r="S15" s="19" t="s">
        <v>237</v>
      </c>
      <c r="T15" s="21">
        <f t="shared" ref="T15:AE15" si="14">IF(ISNUMBER(T14),IF(T14&lt;T$7, 1, 0), 0)</f>
        <v>0</v>
      </c>
      <c r="U15" s="21">
        <f t="shared" si="14"/>
        <v>1</v>
      </c>
      <c r="V15" s="21">
        <f t="shared" si="14"/>
        <v>1</v>
      </c>
      <c r="W15" s="21">
        <f t="shared" si="14"/>
        <v>1</v>
      </c>
      <c r="X15" s="21">
        <f t="shared" si="14"/>
        <v>1</v>
      </c>
      <c r="Y15" s="21">
        <f t="shared" si="14"/>
        <v>1</v>
      </c>
      <c r="Z15" s="21">
        <f t="shared" si="14"/>
        <v>1</v>
      </c>
      <c r="AA15" s="21">
        <f t="shared" si="14"/>
        <v>1</v>
      </c>
      <c r="AB15" s="21">
        <f t="shared" si="14"/>
        <v>1</v>
      </c>
      <c r="AC15" s="21">
        <f t="shared" si="14"/>
        <v>1</v>
      </c>
      <c r="AD15" s="21">
        <f t="shared" si="14"/>
        <v>1</v>
      </c>
      <c r="AE15" s="21">
        <f t="shared" si="14"/>
        <v>1</v>
      </c>
      <c r="AF15" s="20"/>
      <c r="AG15" s="20"/>
      <c r="AH15" s="20"/>
      <c r="AI15" s="20"/>
      <c r="AJ15" s="52"/>
      <c r="AK15" s="20"/>
    </row>
    <row r="16">
      <c r="A16" s="54"/>
      <c r="B16" s="55">
        <f>1+(ROW(B16)-ROW(B$13))/$A$12</f>
        <v>2</v>
      </c>
      <c r="C16" s="27">
        <f t="array" ref="C16">INDEX('Import git'!A$2:C$15,$B16,1)</f>
        <v>2</v>
      </c>
      <c r="D16" s="27" t="str">
        <f t="array" ref="D16">INDEX('Import git'!D$2:D$15,$B16)</f>
        <v>Gobelin</v>
      </c>
      <c r="E16" s="56">
        <f t="array" ref="E16">INDEX('Import git'!F$2:F$15,$B16)</f>
        <v>1</v>
      </c>
      <c r="F16" s="56" t="str">
        <f t="array" ref="F16">INDEX('Import git'!G$2:G$15,$B16)</f>
        <v>1</v>
      </c>
      <c r="G16" s="56">
        <f t="array" ref="G16">INDEX('Import git'!H$2:H$15,$B16)</f>
        <v>2</v>
      </c>
      <c r="H16" s="56">
        <f t="array" ref="H16">INDEX('Import git'!I$2:I$15,$B16)</f>
        <v>0</v>
      </c>
      <c r="I16" s="56">
        <f t="array" ref="I16">INDEX('Import git'!J$2:J$15,$B16)</f>
        <v>0</v>
      </c>
      <c r="J16" s="56">
        <f t="array" ref="J16">INDEX('Import git'!K$2:K$15,$B16)</f>
        <v>4</v>
      </c>
      <c r="K16" s="56">
        <f t="array" ref="K16">INDEX('Import git'!L$2:L$15,$B16)</f>
        <v>0</v>
      </c>
      <c r="L16" s="56" t="str">
        <f t="array" ref="L16">INDEX('Import git'!M$2:M$15,$B16)</f>
        <v>?</v>
      </c>
      <c r="M16" s="32"/>
      <c r="N16" s="25">
        <f>G16+H16+I16+K16</f>
        <v>2</v>
      </c>
      <c r="O16" s="32"/>
      <c r="P16" s="58">
        <v>1.0</v>
      </c>
      <c r="Q16" s="58">
        <v>1.0</v>
      </c>
      <c r="R16" s="32"/>
      <c r="S16" s="58" t="s">
        <v>228</v>
      </c>
      <c r="T16" s="27" t="str">
        <f t="shared" ref="T16:AE16" si="15">CEILING(($J16-$K16)/(T$5-$I16-$K16), 1)</f>
        <v>#DIV/0!</v>
      </c>
      <c r="U16" s="27">
        <f t="shared" si="15"/>
        <v>4</v>
      </c>
      <c r="V16" s="27">
        <f t="shared" si="15"/>
        <v>4</v>
      </c>
      <c r="W16" s="27">
        <f t="shared" si="15"/>
        <v>2</v>
      </c>
      <c r="X16" s="27">
        <f t="shared" si="15"/>
        <v>2</v>
      </c>
      <c r="Y16" s="27">
        <f t="shared" si="15"/>
        <v>2</v>
      </c>
      <c r="Z16" s="27">
        <f t="shared" si="15"/>
        <v>1</v>
      </c>
      <c r="AA16" s="27">
        <f t="shared" si="15"/>
        <v>1</v>
      </c>
      <c r="AB16" s="27">
        <f t="shared" si="15"/>
        <v>2</v>
      </c>
      <c r="AC16" s="27">
        <f t="shared" si="15"/>
        <v>2</v>
      </c>
      <c r="AD16" s="27">
        <f t="shared" si="15"/>
        <v>1</v>
      </c>
      <c r="AE16" s="27">
        <f t="shared" si="15"/>
        <v>1</v>
      </c>
      <c r="AF16" s="32"/>
      <c r="AG16" s="60" t="s">
        <v>239</v>
      </c>
      <c r="AH16" s="60" t="s">
        <v>240</v>
      </c>
      <c r="AI16" s="32"/>
      <c r="AJ16" s="61"/>
      <c r="AK16" s="62" t="str">
        <f t="array" ref="AK16">INDEX('Import git'!P$2:P$15,$B16)</f>
        <v/>
      </c>
    </row>
    <row r="17">
      <c r="A17" s="3"/>
      <c r="B17" s="3"/>
      <c r="E17" s="17"/>
      <c r="F17" s="17"/>
      <c r="G17" s="17"/>
      <c r="H17" s="17"/>
      <c r="I17" s="17"/>
      <c r="J17" s="17"/>
      <c r="K17" s="17"/>
      <c r="L17" s="17"/>
      <c r="N17" s="8"/>
      <c r="S17" s="9" t="s">
        <v>236</v>
      </c>
      <c r="T17" s="10" t="str">
        <f t="shared" ref="T17:AE17" si="16">T16*MAX($H16,$G16-T$6+$H16-T$8)</f>
        <v>#DIV/0!</v>
      </c>
      <c r="U17" s="10">
        <f t="shared" si="16"/>
        <v>8</v>
      </c>
      <c r="V17" s="10">
        <f t="shared" si="16"/>
        <v>8</v>
      </c>
      <c r="W17" s="10">
        <f t="shared" si="16"/>
        <v>4</v>
      </c>
      <c r="X17" s="10">
        <f t="shared" si="16"/>
        <v>4</v>
      </c>
      <c r="Y17" s="10">
        <f t="shared" si="16"/>
        <v>2</v>
      </c>
      <c r="Z17" s="10">
        <f t="shared" si="16"/>
        <v>2</v>
      </c>
      <c r="AA17" s="10">
        <f t="shared" si="16"/>
        <v>0</v>
      </c>
      <c r="AB17" s="10">
        <f t="shared" si="16"/>
        <v>0</v>
      </c>
      <c r="AC17" s="10">
        <f t="shared" si="16"/>
        <v>0</v>
      </c>
      <c r="AD17" s="10">
        <f t="shared" si="16"/>
        <v>0</v>
      </c>
      <c r="AE17" s="10">
        <f t="shared" si="16"/>
        <v>0</v>
      </c>
      <c r="AJ17" s="16"/>
    </row>
    <row r="18">
      <c r="A18" s="47"/>
      <c r="B18" s="47"/>
      <c r="C18" s="20"/>
      <c r="D18" s="20"/>
      <c r="E18" s="63"/>
      <c r="F18" s="63"/>
      <c r="G18" s="63"/>
      <c r="H18" s="63"/>
      <c r="I18" s="63"/>
      <c r="J18" s="63"/>
      <c r="K18" s="63"/>
      <c r="L18" s="63"/>
      <c r="M18" s="20"/>
      <c r="N18" s="64"/>
      <c r="O18" s="20"/>
      <c r="P18" s="20"/>
      <c r="Q18" s="20"/>
      <c r="R18" s="20"/>
      <c r="S18" s="19" t="s">
        <v>237</v>
      </c>
      <c r="T18" s="21">
        <f t="shared" ref="T18:AE18" si="17">IF(ISNUMBER(T17),IF(T17&lt;T$7, 1, 0), 0)</f>
        <v>0</v>
      </c>
      <c r="U18" s="21">
        <f t="shared" si="17"/>
        <v>1</v>
      </c>
      <c r="V18" s="21">
        <f t="shared" si="17"/>
        <v>1</v>
      </c>
      <c r="W18" s="21">
        <f t="shared" si="17"/>
        <v>1</v>
      </c>
      <c r="X18" s="21">
        <f t="shared" si="17"/>
        <v>1</v>
      </c>
      <c r="Y18" s="21">
        <f t="shared" si="17"/>
        <v>1</v>
      </c>
      <c r="Z18" s="21">
        <f t="shared" si="17"/>
        <v>1</v>
      </c>
      <c r="AA18" s="21">
        <f t="shared" si="17"/>
        <v>1</v>
      </c>
      <c r="AB18" s="21">
        <f t="shared" si="17"/>
        <v>1</v>
      </c>
      <c r="AC18" s="21">
        <f t="shared" si="17"/>
        <v>1</v>
      </c>
      <c r="AD18" s="21">
        <f t="shared" si="17"/>
        <v>1</v>
      </c>
      <c r="AE18" s="21">
        <f t="shared" si="17"/>
        <v>1</v>
      </c>
      <c r="AF18" s="20"/>
      <c r="AG18" s="20"/>
      <c r="AH18" s="20"/>
      <c r="AI18" s="20"/>
      <c r="AJ18" s="52"/>
      <c r="AK18" s="20"/>
    </row>
    <row r="19">
      <c r="A19" s="54"/>
      <c r="B19" s="55">
        <f>1+(ROW(B19)-ROW(B$13))/$A$12</f>
        <v>3</v>
      </c>
      <c r="C19" s="27">
        <f t="array" ref="C19">INDEX('Import git'!A$2:C$15,$B19,1)</f>
        <v>3</v>
      </c>
      <c r="D19" s="27" t="str">
        <f t="array" ref="D19">INDEX('Import git'!D$2:D$15,$B19)</f>
        <v>Squelette</v>
      </c>
      <c r="E19" s="56">
        <f t="array" ref="E19">INDEX('Import git'!F$2:F$15,$B19)</f>
        <v>1</v>
      </c>
      <c r="F19" s="56" t="str">
        <f t="array" ref="F19">INDEX('Import git'!G$2:G$15,$B19)</f>
        <v>1-2</v>
      </c>
      <c r="G19" s="56">
        <f t="array" ref="G19">INDEX('Import git'!H$2:H$15,$B19)</f>
        <v>1</v>
      </c>
      <c r="H19" s="56">
        <f t="array" ref="H19">INDEX('Import git'!I$2:I$15,$B19)</f>
        <v>0</v>
      </c>
      <c r="I19" s="56">
        <f t="array" ref="I19">INDEX('Import git'!J$2:J$15,$B19)</f>
        <v>1</v>
      </c>
      <c r="J19" s="56">
        <f t="array" ref="J19">INDEX('Import git'!K$2:K$15,$B19)</f>
        <v>2</v>
      </c>
      <c r="K19" s="56">
        <f t="array" ref="K19">INDEX('Import git'!L$2:L$15,$B19)</f>
        <v>1</v>
      </c>
      <c r="L19" s="56" t="str">
        <f t="array" ref="L19">INDEX('Import git'!M$2:M$15,$B19)</f>
        <v/>
      </c>
      <c r="M19" s="32"/>
      <c r="N19" s="25">
        <f>G19+H19+I19+K19</f>
        <v>3</v>
      </c>
      <c r="O19" s="32"/>
      <c r="P19" s="58">
        <v>2.0</v>
      </c>
      <c r="Q19" s="58">
        <v>1.0</v>
      </c>
      <c r="R19" s="32"/>
      <c r="S19" s="58" t="s">
        <v>228</v>
      </c>
      <c r="T19" s="27">
        <f t="shared" ref="T19:AE19" si="18">CEILING(($J19-$K19)/(T$5-$I19-$K19), 1)</f>
        <v>0</v>
      </c>
      <c r="U19" s="27">
        <f t="shared" si="18"/>
        <v>-1</v>
      </c>
      <c r="V19" s="27">
        <f t="shared" si="18"/>
        <v>-1</v>
      </c>
      <c r="W19" s="27" t="str">
        <f t="shared" si="18"/>
        <v>#DIV/0!</v>
      </c>
      <c r="X19" s="27">
        <f t="shared" si="18"/>
        <v>1</v>
      </c>
      <c r="Y19" s="27" t="str">
        <f t="shared" si="18"/>
        <v>#DIV/0!</v>
      </c>
      <c r="Z19" s="27">
        <f t="shared" si="18"/>
        <v>1</v>
      </c>
      <c r="AA19" s="27">
        <f t="shared" si="18"/>
        <v>1</v>
      </c>
      <c r="AB19" s="27" t="str">
        <f t="shared" si="18"/>
        <v>#DIV/0!</v>
      </c>
      <c r="AC19" s="27">
        <f t="shared" si="18"/>
        <v>1</v>
      </c>
      <c r="AD19" s="27">
        <f t="shared" si="18"/>
        <v>1</v>
      </c>
      <c r="AE19" s="27">
        <f t="shared" si="18"/>
        <v>1</v>
      </c>
      <c r="AF19" s="32"/>
      <c r="AG19" s="60" t="s">
        <v>241</v>
      </c>
      <c r="AH19" s="60" t="s">
        <v>242</v>
      </c>
      <c r="AI19" s="32"/>
      <c r="AJ19" s="67" t="s">
        <v>243</v>
      </c>
      <c r="AK19" s="62" t="str">
        <f t="array" ref="AK19">INDEX('Import git'!P$2:P$15,$B19)</f>
        <v>&lt;u&gt;Décharné&lt;/u&gt;: Encaisse 1 dégât supplémentaire si arme 'de choc', 1 contre tout autre type d'arme&lt;br&gt;&lt;u&gt;Mort-vivant&lt;/u&gt;: Encaisse 1 dégât supplémentaire si arme argentée</v>
      </c>
    </row>
    <row r="20">
      <c r="A20" s="3"/>
      <c r="B20" s="3"/>
      <c r="E20" s="17"/>
      <c r="F20" s="17"/>
      <c r="G20" s="17"/>
      <c r="H20" s="17"/>
      <c r="I20" s="17"/>
      <c r="J20" s="17"/>
      <c r="K20" s="17"/>
      <c r="L20" s="17"/>
      <c r="N20" s="8"/>
      <c r="S20" s="9" t="s">
        <v>236</v>
      </c>
      <c r="T20" s="10">
        <f t="shared" ref="T20:AE20" si="19">T19*MAX($H19,$G19-T$6+$H19-T$8)</f>
        <v>0</v>
      </c>
      <c r="U20" s="10">
        <f t="shared" si="19"/>
        <v>-1</v>
      </c>
      <c r="V20" s="10">
        <f t="shared" si="19"/>
        <v>-1</v>
      </c>
      <c r="W20" s="10" t="str">
        <f t="shared" si="19"/>
        <v>#DIV/0!</v>
      </c>
      <c r="X20" s="10">
        <f t="shared" si="19"/>
        <v>1</v>
      </c>
      <c r="Y20" s="10" t="str">
        <f t="shared" si="19"/>
        <v>#DIV/0!</v>
      </c>
      <c r="Z20" s="10">
        <f t="shared" si="19"/>
        <v>1</v>
      </c>
      <c r="AA20" s="10">
        <f t="shared" si="19"/>
        <v>0</v>
      </c>
      <c r="AB20" s="10" t="str">
        <f t="shared" si="19"/>
        <v>#DIV/0!</v>
      </c>
      <c r="AC20" s="10">
        <f t="shared" si="19"/>
        <v>0</v>
      </c>
      <c r="AD20" s="10">
        <f t="shared" si="19"/>
        <v>0</v>
      </c>
      <c r="AE20" s="10">
        <f t="shared" si="19"/>
        <v>0</v>
      </c>
    </row>
    <row r="21">
      <c r="A21" s="47"/>
      <c r="B21" s="47"/>
      <c r="C21" s="20"/>
      <c r="D21" s="20"/>
      <c r="E21" s="63"/>
      <c r="F21" s="63"/>
      <c r="G21" s="63"/>
      <c r="H21" s="63"/>
      <c r="I21" s="63"/>
      <c r="J21" s="63"/>
      <c r="K21" s="63"/>
      <c r="L21" s="63"/>
      <c r="M21" s="20"/>
      <c r="N21" s="64"/>
      <c r="O21" s="20"/>
      <c r="P21" s="20"/>
      <c r="Q21" s="20"/>
      <c r="R21" s="20"/>
      <c r="S21" s="19" t="s">
        <v>237</v>
      </c>
      <c r="T21" s="21">
        <f t="shared" ref="T21:AE21" si="20">IF(ISNUMBER(T20),IF(T20&lt;T$7, 1, 0), 0)</f>
        <v>1</v>
      </c>
      <c r="U21" s="21">
        <f t="shared" si="20"/>
        <v>1</v>
      </c>
      <c r="V21" s="21">
        <f t="shared" si="20"/>
        <v>1</v>
      </c>
      <c r="W21" s="21">
        <f t="shared" si="20"/>
        <v>0</v>
      </c>
      <c r="X21" s="21">
        <f t="shared" si="20"/>
        <v>1</v>
      </c>
      <c r="Y21" s="21">
        <f t="shared" si="20"/>
        <v>0</v>
      </c>
      <c r="Z21" s="21">
        <f t="shared" si="20"/>
        <v>1</v>
      </c>
      <c r="AA21" s="21">
        <f t="shared" si="20"/>
        <v>1</v>
      </c>
      <c r="AB21" s="21">
        <f t="shared" si="20"/>
        <v>0</v>
      </c>
      <c r="AC21" s="21">
        <f t="shared" si="20"/>
        <v>1</v>
      </c>
      <c r="AD21" s="21">
        <f t="shared" si="20"/>
        <v>1</v>
      </c>
      <c r="AE21" s="21">
        <f t="shared" si="20"/>
        <v>1</v>
      </c>
      <c r="AF21" s="20"/>
      <c r="AG21" s="20"/>
      <c r="AH21" s="20"/>
      <c r="AI21" s="20"/>
      <c r="AJ21" s="20"/>
      <c r="AK21" s="20"/>
    </row>
    <row r="22">
      <c r="A22" s="54"/>
      <c r="B22" s="55">
        <f>1+(ROW(B22)-ROW(B$13))/$A$12</f>
        <v>4</v>
      </c>
      <c r="C22" s="27">
        <f t="array" ref="C22">INDEX('Import git'!A$2:C$15,$B22,1)</f>
        <v>4</v>
      </c>
      <c r="D22" s="27" t="str">
        <f t="array" ref="D22">INDEX('Import git'!D$2:D$15,$B22)</f>
        <v>Zombie</v>
      </c>
      <c r="E22" s="56">
        <f t="array" ref="E22">INDEX('Import git'!F$2:F$15,$B22)</f>
        <v>1</v>
      </c>
      <c r="F22" s="56" t="str">
        <f t="array" ref="F22">INDEX('Import git'!G$2:G$15,$B22)</f>
        <v>1-2</v>
      </c>
      <c r="G22" s="56">
        <f t="array" ref="G22">INDEX('Import git'!H$2:H$15,$B22)</f>
        <v>1</v>
      </c>
      <c r="H22" s="56">
        <f t="array" ref="H22">INDEX('Import git'!I$2:I$15,$B22)</f>
        <v>1</v>
      </c>
      <c r="I22" s="56">
        <f t="array" ref="I22">INDEX('Import git'!J$2:J$15,$B22)</f>
        <v>0</v>
      </c>
      <c r="J22" s="56">
        <f t="array" ref="J22">INDEX('Import git'!K$2:K$15,$B22)</f>
        <v>2</v>
      </c>
      <c r="K22" s="56">
        <f t="array" ref="K22">INDEX('Import git'!L$2:L$15,$B22)</f>
        <v>1</v>
      </c>
      <c r="L22" s="56" t="str">
        <f t="array" ref="L22">INDEX('Import git'!M$2:M$15,$B22)</f>
        <v/>
      </c>
      <c r="M22" s="32"/>
      <c r="N22" s="25">
        <f>G22+H22+I22+K22</f>
        <v>3</v>
      </c>
      <c r="O22" s="32"/>
      <c r="P22" s="58">
        <v>2.0</v>
      </c>
      <c r="Q22" s="58">
        <v>2.0</v>
      </c>
      <c r="R22" s="32"/>
      <c r="S22" s="58" t="s">
        <v>228</v>
      </c>
      <c r="T22" s="27">
        <f t="shared" ref="T22:AE22" si="21">CEILING(($J22-$K22)/(T$5-$I22-$K22), 1)</f>
        <v>-1</v>
      </c>
      <c r="U22" s="27" t="str">
        <f t="shared" si="21"/>
        <v>#DIV/0!</v>
      </c>
      <c r="V22" s="27" t="str">
        <f t="shared" si="21"/>
        <v>#DIV/0!</v>
      </c>
      <c r="W22" s="27">
        <f t="shared" si="21"/>
        <v>1</v>
      </c>
      <c r="X22" s="27">
        <f t="shared" si="21"/>
        <v>1</v>
      </c>
      <c r="Y22" s="27">
        <f t="shared" si="21"/>
        <v>1</v>
      </c>
      <c r="Z22" s="27">
        <f t="shared" si="21"/>
        <v>1</v>
      </c>
      <c r="AA22" s="27">
        <f t="shared" si="21"/>
        <v>1</v>
      </c>
      <c r="AB22" s="27">
        <f t="shared" si="21"/>
        <v>1</v>
      </c>
      <c r="AC22" s="27">
        <f t="shared" si="21"/>
        <v>1</v>
      </c>
      <c r="AD22" s="27">
        <f t="shared" si="21"/>
        <v>1</v>
      </c>
      <c r="AE22" s="27">
        <f t="shared" si="21"/>
        <v>1</v>
      </c>
      <c r="AF22" s="32"/>
      <c r="AG22" s="60" t="s">
        <v>244</v>
      </c>
      <c r="AH22" s="60" t="s">
        <v>245</v>
      </c>
      <c r="AI22" s="32"/>
      <c r="AJ22" s="67" t="s">
        <v>246</v>
      </c>
      <c r="AK22" s="62" t="str">
        <f t="array" ref="AK22">INDEX('Import git'!P$2:P$15,$B22)</f>
        <v>&lt;u&gt;Mort-vivant&lt;/u&gt;: Encaisse 1 dégât supplémentaire si arme argentée&lt;br&gt;&lt;u&gt;Main de mort&lt;/u&gt;: Inflige 1 dégât automatique</v>
      </c>
    </row>
    <row r="23">
      <c r="A23" s="3"/>
      <c r="B23" s="3"/>
      <c r="E23" s="17"/>
      <c r="F23" s="17"/>
      <c r="G23" s="17"/>
      <c r="H23" s="17"/>
      <c r="I23" s="17"/>
      <c r="J23" s="17"/>
      <c r="K23" s="17"/>
      <c r="L23" s="17"/>
      <c r="N23" s="8"/>
      <c r="S23" s="9" t="s">
        <v>236</v>
      </c>
      <c r="T23" s="10">
        <f t="shared" ref="T23:AE23" si="22">T22*MAX($H22,$G22-T$6+$H22-T$8)</f>
        <v>-2</v>
      </c>
      <c r="U23" s="10" t="str">
        <f t="shared" si="22"/>
        <v>#DIV/0!</v>
      </c>
      <c r="V23" s="10" t="str">
        <f t="shared" si="22"/>
        <v>#DIV/0!</v>
      </c>
      <c r="W23" s="10">
        <f t="shared" si="22"/>
        <v>2</v>
      </c>
      <c r="X23" s="10">
        <f t="shared" si="22"/>
        <v>2</v>
      </c>
      <c r="Y23" s="10">
        <f t="shared" si="22"/>
        <v>1</v>
      </c>
      <c r="Z23" s="10">
        <f t="shared" si="22"/>
        <v>2</v>
      </c>
      <c r="AA23" s="10">
        <f t="shared" si="22"/>
        <v>1</v>
      </c>
      <c r="AB23" s="10">
        <f t="shared" si="22"/>
        <v>1</v>
      </c>
      <c r="AC23" s="10">
        <f t="shared" si="22"/>
        <v>1</v>
      </c>
      <c r="AD23" s="10">
        <f t="shared" si="22"/>
        <v>1</v>
      </c>
      <c r="AE23" s="10">
        <f t="shared" si="22"/>
        <v>1</v>
      </c>
    </row>
    <row r="24">
      <c r="A24" s="47"/>
      <c r="B24" s="47"/>
      <c r="C24" s="20"/>
      <c r="D24" s="20"/>
      <c r="E24" s="63"/>
      <c r="F24" s="63"/>
      <c r="G24" s="63"/>
      <c r="H24" s="63"/>
      <c r="I24" s="63"/>
      <c r="J24" s="63"/>
      <c r="K24" s="63"/>
      <c r="L24" s="63"/>
      <c r="M24" s="20"/>
      <c r="N24" s="64"/>
      <c r="O24" s="20"/>
      <c r="P24" s="20"/>
      <c r="Q24" s="20"/>
      <c r="R24" s="20"/>
      <c r="S24" s="19" t="s">
        <v>237</v>
      </c>
      <c r="T24" s="21">
        <f t="shared" ref="T24:AE24" si="23">IF(ISNUMBER(T23),IF(T23&lt;T$7, 1, 0), 0)</f>
        <v>1</v>
      </c>
      <c r="U24" s="21">
        <f t="shared" si="23"/>
        <v>0</v>
      </c>
      <c r="V24" s="21">
        <f t="shared" si="23"/>
        <v>0</v>
      </c>
      <c r="W24" s="21">
        <f t="shared" si="23"/>
        <v>1</v>
      </c>
      <c r="X24" s="21">
        <f t="shared" si="23"/>
        <v>1</v>
      </c>
      <c r="Y24" s="21">
        <f t="shared" si="23"/>
        <v>1</v>
      </c>
      <c r="Z24" s="21">
        <f t="shared" si="23"/>
        <v>1</v>
      </c>
      <c r="AA24" s="21">
        <f t="shared" si="23"/>
        <v>1</v>
      </c>
      <c r="AB24" s="21">
        <f t="shared" si="23"/>
        <v>1</v>
      </c>
      <c r="AC24" s="21">
        <f t="shared" si="23"/>
        <v>1</v>
      </c>
      <c r="AD24" s="21">
        <f t="shared" si="23"/>
        <v>1</v>
      </c>
      <c r="AE24" s="21">
        <f t="shared" si="23"/>
        <v>1</v>
      </c>
      <c r="AF24" s="20"/>
      <c r="AG24" s="20"/>
      <c r="AH24" s="20"/>
      <c r="AI24" s="20"/>
      <c r="AJ24" s="20"/>
      <c r="AK24" s="20"/>
    </row>
    <row r="25" ht="15.75" customHeight="1">
      <c r="A25" s="54"/>
      <c r="B25" s="55">
        <f>1+(ROW(B25)-ROW(B$13))/$A$12</f>
        <v>5</v>
      </c>
      <c r="C25" s="27">
        <f t="array" ref="C25">INDEX('Import git'!A$2:C$15,$B25,1)</f>
        <v>5</v>
      </c>
      <c r="D25" s="27" t="str">
        <f t="array" ref="D25">INDEX('Import git'!D$2:D$15,$B25)</f>
        <v>Orc</v>
      </c>
      <c r="E25" s="56">
        <f t="array" ref="E25">INDEX('Import git'!F$2:F$15,$B25)</f>
        <v>2</v>
      </c>
      <c r="F25" s="56" t="str">
        <f t="array" ref="F25">INDEX('Import git'!G$2:G$15,$B25)</f>
        <v>2-3</v>
      </c>
      <c r="G25" s="56">
        <f t="array" ref="G25">INDEX('Import git'!H$2:H$15,$B25)</f>
        <v>3</v>
      </c>
      <c r="H25" s="56">
        <f t="array" ref="H25">INDEX('Import git'!I$2:I$15,$B25)</f>
        <v>0</v>
      </c>
      <c r="I25" s="56">
        <f t="array" ref="I25">INDEX('Import git'!J$2:J$15,$B25)</f>
        <v>1</v>
      </c>
      <c r="J25" s="56">
        <f t="array" ref="J25">INDEX('Import git'!K$2:K$15,$B25)</f>
        <v>6</v>
      </c>
      <c r="K25" s="56">
        <f t="array" ref="K25">INDEX('Import git'!L$2:L$15,$B25)</f>
        <v>0</v>
      </c>
      <c r="L25" s="56" t="str">
        <f t="array" ref="L25">INDEX('Import git'!M$2:M$15,$B25)</f>
        <v/>
      </c>
      <c r="M25" s="32"/>
      <c r="N25" s="25">
        <f>G25+H25+I25+K25</f>
        <v>4</v>
      </c>
      <c r="O25" s="32"/>
      <c r="P25" s="58">
        <v>2.0</v>
      </c>
      <c r="Q25" s="58">
        <v>3.0</v>
      </c>
      <c r="R25" s="32"/>
      <c r="S25" s="58" t="s">
        <v>228</v>
      </c>
      <c r="T25" s="27">
        <f t="shared" ref="T25:AE25" si="24">CEILING(($J25-$K25)/(T$5-$I25-$K25), 1)</f>
        <v>-6</v>
      </c>
      <c r="U25" s="27" t="str">
        <f t="shared" si="24"/>
        <v>#DIV/0!</v>
      </c>
      <c r="V25" s="27" t="str">
        <f t="shared" si="24"/>
        <v>#DIV/0!</v>
      </c>
      <c r="W25" s="27">
        <f t="shared" si="24"/>
        <v>6</v>
      </c>
      <c r="X25" s="27">
        <f t="shared" si="24"/>
        <v>3</v>
      </c>
      <c r="Y25" s="27">
        <f t="shared" si="24"/>
        <v>6</v>
      </c>
      <c r="Z25" s="27">
        <f t="shared" si="24"/>
        <v>2</v>
      </c>
      <c r="AA25" s="27">
        <f t="shared" si="24"/>
        <v>2</v>
      </c>
      <c r="AB25" s="27">
        <f t="shared" si="24"/>
        <v>6</v>
      </c>
      <c r="AC25" s="27">
        <f t="shared" si="24"/>
        <v>3</v>
      </c>
      <c r="AD25" s="27">
        <f t="shared" si="24"/>
        <v>2</v>
      </c>
      <c r="AE25" s="27">
        <f t="shared" si="24"/>
        <v>2</v>
      </c>
      <c r="AF25" s="32"/>
      <c r="AG25" s="60" t="s">
        <v>247</v>
      </c>
      <c r="AH25" s="60" t="s">
        <v>248</v>
      </c>
      <c r="AI25" s="32"/>
      <c r="AJ25" s="67" t="s">
        <v>93</v>
      </c>
      <c r="AK25" s="62" t="str">
        <f t="array" ref="AK25">INDEX('Import git'!P$2:P$15,$B25)</f>
        <v>&lt;u&gt;Trésor&lt;/u&gt;: Bouclier (+1 en défense), conservez cette carte après l'avoir éliminée</v>
      </c>
    </row>
    <row r="26" ht="18.75" customHeight="1">
      <c r="A26" s="3"/>
      <c r="B26" s="3"/>
      <c r="E26" s="17"/>
      <c r="F26" s="17"/>
      <c r="G26" s="17"/>
      <c r="H26" s="17"/>
      <c r="I26" s="17"/>
      <c r="J26" s="17"/>
      <c r="K26" s="17"/>
      <c r="L26" s="17"/>
      <c r="N26" s="8"/>
      <c r="S26" s="9" t="s">
        <v>236</v>
      </c>
      <c r="T26" s="10">
        <f t="shared" ref="T26:AE26" si="25">T25*MAX($H25,$G25-T$6+$H25-T$8)</f>
        <v>-18</v>
      </c>
      <c r="U26" s="10" t="str">
        <f t="shared" si="25"/>
        <v>#DIV/0!</v>
      </c>
      <c r="V26" s="10" t="str">
        <f t="shared" si="25"/>
        <v>#DIV/0!</v>
      </c>
      <c r="W26" s="10">
        <f t="shared" si="25"/>
        <v>18</v>
      </c>
      <c r="X26" s="10">
        <f t="shared" si="25"/>
        <v>9</v>
      </c>
      <c r="Y26" s="10">
        <f t="shared" si="25"/>
        <v>12</v>
      </c>
      <c r="Z26" s="10">
        <f t="shared" si="25"/>
        <v>6</v>
      </c>
      <c r="AA26" s="10">
        <f t="shared" si="25"/>
        <v>2</v>
      </c>
      <c r="AB26" s="10">
        <f t="shared" si="25"/>
        <v>0</v>
      </c>
      <c r="AC26" s="10">
        <f t="shared" si="25"/>
        <v>0</v>
      </c>
      <c r="AD26" s="10">
        <f t="shared" si="25"/>
        <v>0</v>
      </c>
      <c r="AE26" s="10">
        <f t="shared" si="25"/>
        <v>0</v>
      </c>
    </row>
    <row r="27" ht="18.75" customHeight="1">
      <c r="A27" s="47"/>
      <c r="B27" s="47"/>
      <c r="C27" s="20"/>
      <c r="D27" s="20"/>
      <c r="E27" s="63"/>
      <c r="F27" s="63"/>
      <c r="G27" s="63"/>
      <c r="H27" s="63"/>
      <c r="I27" s="63"/>
      <c r="J27" s="63"/>
      <c r="K27" s="63"/>
      <c r="L27" s="63"/>
      <c r="M27" s="20"/>
      <c r="N27" s="64"/>
      <c r="O27" s="20"/>
      <c r="P27" s="20"/>
      <c r="Q27" s="20"/>
      <c r="R27" s="20"/>
      <c r="S27" s="19" t="s">
        <v>237</v>
      </c>
      <c r="T27" s="21">
        <f t="shared" ref="T27:AE27" si="26">IF(ISNUMBER(T26),IF(T26&lt;T$7, 1, 0), 0)</f>
        <v>1</v>
      </c>
      <c r="U27" s="21">
        <f t="shared" si="26"/>
        <v>0</v>
      </c>
      <c r="V27" s="21">
        <f t="shared" si="26"/>
        <v>0</v>
      </c>
      <c r="W27" s="21">
        <f t="shared" si="26"/>
        <v>0</v>
      </c>
      <c r="X27" s="21">
        <f t="shared" si="26"/>
        <v>1</v>
      </c>
      <c r="Y27" s="21">
        <f t="shared" si="26"/>
        <v>0</v>
      </c>
      <c r="Z27" s="21">
        <f t="shared" si="26"/>
        <v>1</v>
      </c>
      <c r="AA27" s="21">
        <f t="shared" si="26"/>
        <v>1</v>
      </c>
      <c r="AB27" s="21">
        <f t="shared" si="26"/>
        <v>1</v>
      </c>
      <c r="AC27" s="21">
        <f t="shared" si="26"/>
        <v>1</v>
      </c>
      <c r="AD27" s="21">
        <f t="shared" si="26"/>
        <v>1</v>
      </c>
      <c r="AE27" s="21">
        <f t="shared" si="26"/>
        <v>1</v>
      </c>
      <c r="AF27" s="20"/>
      <c r="AG27" s="20"/>
      <c r="AH27" s="20"/>
      <c r="AI27" s="20"/>
      <c r="AJ27" s="20"/>
      <c r="AK27" s="20"/>
    </row>
    <row r="28" ht="24.75" customHeight="1">
      <c r="A28" s="54"/>
      <c r="B28" s="55">
        <f>1+(ROW(B28)-ROW(B$13))/$A$12</f>
        <v>6</v>
      </c>
      <c r="C28" s="27">
        <f t="array" ref="C28">INDEX('Import git'!A$2:C$15,$B28,1)</f>
        <v>6</v>
      </c>
      <c r="D28" s="27" t="str">
        <f t="array" ref="D28">INDEX('Import git'!D$2:D$15,$B28)</f>
        <v>Momie</v>
      </c>
      <c r="E28" s="56">
        <f t="array" ref="E28">INDEX('Import git'!F$2:F$15,$B28)</f>
        <v>2</v>
      </c>
      <c r="F28" s="56" t="str">
        <f t="array" ref="F28">INDEX('Import git'!G$2:G$15,$B28)</f>
        <v>2-3</v>
      </c>
      <c r="G28" s="56">
        <f t="array" ref="G28">INDEX('Import git'!H$2:H$15,$B28)</f>
        <v>2</v>
      </c>
      <c r="H28" s="56">
        <f t="array" ref="H28">INDEX('Import git'!I$2:I$15,$B28)</f>
        <v>1</v>
      </c>
      <c r="I28" s="56">
        <f t="array" ref="I28">INDEX('Import git'!J$2:J$15,$B28)</f>
        <v>1</v>
      </c>
      <c r="J28" s="56">
        <f t="array" ref="J28">INDEX('Import git'!K$2:K$15,$B28)</f>
        <v>8</v>
      </c>
      <c r="K28" s="56">
        <f t="array" ref="K28">INDEX('Import git'!L$2:L$15,$B28)</f>
        <v>0</v>
      </c>
      <c r="L28" s="56" t="str">
        <f t="array" ref="L28">INDEX('Import git'!M$2:M$15,$B28)</f>
        <v/>
      </c>
      <c r="M28" s="32"/>
      <c r="N28" s="25">
        <f>G28+H28+I28+K28</f>
        <v>4</v>
      </c>
      <c r="O28" s="32"/>
      <c r="P28" s="58">
        <v>2.0</v>
      </c>
      <c r="Q28" s="58">
        <v>4.0</v>
      </c>
      <c r="R28" s="32"/>
      <c r="S28" s="58" t="s">
        <v>228</v>
      </c>
      <c r="T28" s="27">
        <f t="shared" ref="T28:AE28" si="27">CEILING(($J28-$K28)/(T$5-$I28-$K28), 1)</f>
        <v>-8</v>
      </c>
      <c r="U28" s="27" t="str">
        <f t="shared" si="27"/>
        <v>#DIV/0!</v>
      </c>
      <c r="V28" s="27" t="str">
        <f t="shared" si="27"/>
        <v>#DIV/0!</v>
      </c>
      <c r="W28" s="27">
        <f t="shared" si="27"/>
        <v>8</v>
      </c>
      <c r="X28" s="27">
        <f t="shared" si="27"/>
        <v>4</v>
      </c>
      <c r="Y28" s="27">
        <f t="shared" si="27"/>
        <v>8</v>
      </c>
      <c r="Z28" s="27">
        <f t="shared" si="27"/>
        <v>3</v>
      </c>
      <c r="AA28" s="27">
        <f t="shared" si="27"/>
        <v>3</v>
      </c>
      <c r="AB28" s="27">
        <f t="shared" si="27"/>
        <v>8</v>
      </c>
      <c r="AC28" s="27">
        <f t="shared" si="27"/>
        <v>4</v>
      </c>
      <c r="AD28" s="27">
        <f t="shared" si="27"/>
        <v>3</v>
      </c>
      <c r="AE28" s="27">
        <f t="shared" si="27"/>
        <v>2</v>
      </c>
      <c r="AF28" s="32"/>
      <c r="AG28" s="60" t="s">
        <v>249</v>
      </c>
      <c r="AH28" s="60" t="s">
        <v>250</v>
      </c>
      <c r="AI28" s="32"/>
      <c r="AJ28" s="67" t="s">
        <v>251</v>
      </c>
      <c r="AK28" s="62" t="str">
        <f t="array" ref="AK28">INDEX('Import git'!P$2:P$15,$B28)</f>
        <v>&lt;u&gt;Mort-vivant&lt;/u&gt;: Encaisse 1 dégât supplémentaire si arme argentée&lt;br&gt;&lt;u&gt;Main de mort&lt;/u&gt;: Inflige 1 dégât automatique&lt;br&gt;&lt;u&gt;Malédiction&lt;/u&gt;: -1 permanent en attaque si vous arrivez à éliminer la carte (conservez-la)</v>
      </c>
    </row>
    <row r="29" ht="23.25" customHeight="1">
      <c r="A29" s="3"/>
      <c r="B29" s="3"/>
      <c r="E29" s="17"/>
      <c r="F29" s="17"/>
      <c r="G29" s="17"/>
      <c r="H29" s="17"/>
      <c r="I29" s="17"/>
      <c r="J29" s="17"/>
      <c r="K29" s="17"/>
      <c r="L29" s="17"/>
      <c r="N29" s="8"/>
      <c r="S29" s="9" t="s">
        <v>236</v>
      </c>
      <c r="T29" s="10">
        <f t="shared" ref="T29:AE29" si="28">T28*MAX($H28,$G28-T$6+$H28-T$8)</f>
        <v>-24</v>
      </c>
      <c r="U29" s="10" t="str">
        <f t="shared" si="28"/>
        <v>#DIV/0!</v>
      </c>
      <c r="V29" s="10" t="str">
        <f t="shared" si="28"/>
        <v>#DIV/0!</v>
      </c>
      <c r="W29" s="10">
        <f t="shared" si="28"/>
        <v>24</v>
      </c>
      <c r="X29" s="10">
        <f t="shared" si="28"/>
        <v>12</v>
      </c>
      <c r="Y29" s="10">
        <f t="shared" si="28"/>
        <v>16</v>
      </c>
      <c r="Z29" s="10">
        <f t="shared" si="28"/>
        <v>9</v>
      </c>
      <c r="AA29" s="10">
        <f t="shared" si="28"/>
        <v>3</v>
      </c>
      <c r="AB29" s="10">
        <f t="shared" si="28"/>
        <v>8</v>
      </c>
      <c r="AC29" s="10">
        <f t="shared" si="28"/>
        <v>4</v>
      </c>
      <c r="AD29" s="10">
        <f t="shared" si="28"/>
        <v>3</v>
      </c>
      <c r="AE29" s="10">
        <f t="shared" si="28"/>
        <v>2</v>
      </c>
    </row>
    <row r="30" ht="21.75" customHeight="1">
      <c r="A30" s="47"/>
      <c r="B30" s="47"/>
      <c r="C30" s="20"/>
      <c r="D30" s="20"/>
      <c r="E30" s="63"/>
      <c r="F30" s="63"/>
      <c r="G30" s="63"/>
      <c r="H30" s="63"/>
      <c r="I30" s="63"/>
      <c r="J30" s="63"/>
      <c r="K30" s="63"/>
      <c r="L30" s="63"/>
      <c r="M30" s="20"/>
      <c r="N30" s="64"/>
      <c r="O30" s="20"/>
      <c r="P30" s="20"/>
      <c r="Q30" s="20"/>
      <c r="R30" s="20"/>
      <c r="S30" s="19" t="s">
        <v>237</v>
      </c>
      <c r="T30" s="21">
        <f t="shared" ref="T30:AE30" si="29">IF(ISNUMBER(T29),IF(T29&lt;T$7, 1, 0), 0)</f>
        <v>1</v>
      </c>
      <c r="U30" s="21">
        <f t="shared" si="29"/>
        <v>0</v>
      </c>
      <c r="V30" s="21">
        <f t="shared" si="29"/>
        <v>0</v>
      </c>
      <c r="W30" s="21">
        <f t="shared" si="29"/>
        <v>0</v>
      </c>
      <c r="X30" s="21">
        <f t="shared" si="29"/>
        <v>0</v>
      </c>
      <c r="Y30" s="21">
        <f t="shared" si="29"/>
        <v>0</v>
      </c>
      <c r="Z30" s="21">
        <f t="shared" si="29"/>
        <v>1</v>
      </c>
      <c r="AA30" s="21">
        <f t="shared" si="29"/>
        <v>1</v>
      </c>
      <c r="AB30" s="21">
        <f t="shared" si="29"/>
        <v>1</v>
      </c>
      <c r="AC30" s="21">
        <f t="shared" si="29"/>
        <v>1</v>
      </c>
      <c r="AD30" s="21">
        <f t="shared" si="29"/>
        <v>1</v>
      </c>
      <c r="AE30" s="21">
        <f t="shared" si="29"/>
        <v>1</v>
      </c>
      <c r="AF30" s="20"/>
      <c r="AG30" s="20"/>
      <c r="AH30" s="20"/>
      <c r="AI30" s="20"/>
      <c r="AJ30" s="20"/>
      <c r="AK30" s="20"/>
    </row>
    <row r="31">
      <c r="A31" s="54"/>
      <c r="B31" s="55">
        <f>1+(ROW(B31)-ROW(B$13))/$A$12</f>
        <v>7</v>
      </c>
      <c r="C31" s="27">
        <f t="array" ref="C31">INDEX('Import git'!A$2:C$15,$B31,1)</f>
        <v>7</v>
      </c>
      <c r="D31" s="27" t="str">
        <f t="array" ref="D31">INDEX('Import git'!D$2:D$15,$B31)</f>
        <v>Loup-Garou</v>
      </c>
      <c r="E31" s="56">
        <f t="array" ref="E31">INDEX('Import git'!F$2:F$15,$B31)</f>
        <v>3</v>
      </c>
      <c r="F31" s="56" t="str">
        <f t="array" ref="F31">INDEX('Import git'!G$2:G$15,$B31)</f>
        <v>3-4</v>
      </c>
      <c r="G31" s="56">
        <f t="array" ref="G31">INDEX('Import git'!H$2:H$15,$B31)</f>
        <v>4</v>
      </c>
      <c r="H31" s="56">
        <f t="array" ref="H31">INDEX('Import git'!I$2:I$15,$B31)</f>
        <v>0</v>
      </c>
      <c r="I31" s="56">
        <f t="array" ref="I31">INDEX('Import git'!J$2:J$15,$B31)</f>
        <v>2</v>
      </c>
      <c r="J31" s="56">
        <f t="array" ref="J31">INDEX('Import git'!K$2:K$15,$B31)</f>
        <v>8</v>
      </c>
      <c r="K31" s="56">
        <f t="array" ref="K31">INDEX('Import git'!L$2:L$15,$B31)</f>
        <v>1</v>
      </c>
      <c r="L31" s="56" t="str">
        <f t="array" ref="L31">INDEX('Import git'!M$2:M$15,$B31)</f>
        <v/>
      </c>
      <c r="M31" s="32"/>
      <c r="N31" s="25">
        <f>G31+H31+I31+K31</f>
        <v>7</v>
      </c>
      <c r="O31" s="32"/>
      <c r="P31" s="58">
        <v>3.0</v>
      </c>
      <c r="Q31" s="58">
        <v>4.0</v>
      </c>
      <c r="R31" s="32"/>
      <c r="S31" s="58" t="s">
        <v>228</v>
      </c>
      <c r="T31" s="27">
        <f t="shared" ref="T31:AE31" si="30">CEILING(($J31-$K31)/(T$5-$I31-$K31), 1)</f>
        <v>-2</v>
      </c>
      <c r="U31" s="27">
        <f t="shared" si="30"/>
        <v>-3</v>
      </c>
      <c r="V31" s="27">
        <f t="shared" si="30"/>
        <v>-3</v>
      </c>
      <c r="W31" s="27">
        <f t="shared" si="30"/>
        <v>-7</v>
      </c>
      <c r="X31" s="27" t="str">
        <f t="shared" si="30"/>
        <v>#DIV/0!</v>
      </c>
      <c r="Y31" s="27">
        <f t="shared" si="30"/>
        <v>-7</v>
      </c>
      <c r="Z31" s="27">
        <f t="shared" si="30"/>
        <v>7</v>
      </c>
      <c r="AA31" s="27">
        <f t="shared" si="30"/>
        <v>7</v>
      </c>
      <c r="AB31" s="27">
        <f t="shared" si="30"/>
        <v>-7</v>
      </c>
      <c r="AC31" s="27" t="str">
        <f t="shared" si="30"/>
        <v>#DIV/0!</v>
      </c>
      <c r="AD31" s="27">
        <f t="shared" si="30"/>
        <v>7</v>
      </c>
      <c r="AE31" s="27">
        <f t="shared" si="30"/>
        <v>4</v>
      </c>
      <c r="AF31" s="32"/>
      <c r="AG31" s="60" t="s">
        <v>252</v>
      </c>
      <c r="AH31" s="68"/>
      <c r="AI31" s="32"/>
      <c r="AJ31" s="67" t="s">
        <v>253</v>
      </c>
      <c r="AK31" s="62" t="str">
        <f t="array" ref="AK31">INDEX('Import git'!P$2:P$15,$B31)</f>
        <v>&lt;u&gt;Lycanthrope&lt;/u&gt;: Encaisse 1 dégât supplémentaire si arme argentée</v>
      </c>
    </row>
    <row r="32" ht="18.75" customHeight="1">
      <c r="A32" s="3"/>
      <c r="B32" s="3"/>
      <c r="E32" s="17"/>
      <c r="F32" s="17"/>
      <c r="G32" s="17"/>
      <c r="H32" s="17"/>
      <c r="I32" s="17"/>
      <c r="J32" s="17"/>
      <c r="K32" s="17"/>
      <c r="L32" s="17"/>
      <c r="N32" s="8"/>
      <c r="S32" s="9" t="s">
        <v>236</v>
      </c>
      <c r="T32" s="10">
        <f t="shared" ref="T32:AE32" si="31">T31*MAX($H31,$G31-T$6+$H31-T$8)</f>
        <v>-8</v>
      </c>
      <c r="U32" s="10">
        <f t="shared" si="31"/>
        <v>-12</v>
      </c>
      <c r="V32" s="10">
        <f t="shared" si="31"/>
        <v>-12</v>
      </c>
      <c r="W32" s="10">
        <f t="shared" si="31"/>
        <v>-28</v>
      </c>
      <c r="X32" s="10" t="str">
        <f t="shared" si="31"/>
        <v>#DIV/0!</v>
      </c>
      <c r="Y32" s="10">
        <f t="shared" si="31"/>
        <v>-21</v>
      </c>
      <c r="Z32" s="10">
        <f t="shared" si="31"/>
        <v>28</v>
      </c>
      <c r="AA32" s="10">
        <f t="shared" si="31"/>
        <v>14</v>
      </c>
      <c r="AB32" s="10">
        <f t="shared" si="31"/>
        <v>-7</v>
      </c>
      <c r="AC32" s="10" t="str">
        <f t="shared" si="31"/>
        <v>#DIV/0!</v>
      </c>
      <c r="AD32" s="10">
        <f t="shared" si="31"/>
        <v>7</v>
      </c>
      <c r="AE32" s="10">
        <f t="shared" si="31"/>
        <v>0</v>
      </c>
    </row>
    <row r="33">
      <c r="A33" s="47"/>
      <c r="B33" s="47"/>
      <c r="C33" s="20"/>
      <c r="D33" s="20"/>
      <c r="E33" s="63"/>
      <c r="F33" s="63"/>
      <c r="G33" s="63"/>
      <c r="H33" s="63"/>
      <c r="I33" s="63"/>
      <c r="J33" s="63"/>
      <c r="K33" s="63"/>
      <c r="L33" s="63"/>
      <c r="M33" s="20"/>
      <c r="N33" s="64"/>
      <c r="O33" s="20"/>
      <c r="P33" s="20"/>
      <c r="Q33" s="20"/>
      <c r="R33" s="20"/>
      <c r="S33" s="19" t="s">
        <v>237</v>
      </c>
      <c r="T33" s="21">
        <f t="shared" ref="T33:AE33" si="32">IF(ISNUMBER(T32),IF(T32&lt;T$7, 1, 0), 0)</f>
        <v>1</v>
      </c>
      <c r="U33" s="21">
        <f t="shared" si="32"/>
        <v>1</v>
      </c>
      <c r="V33" s="21">
        <f t="shared" si="32"/>
        <v>1</v>
      </c>
      <c r="W33" s="21">
        <f t="shared" si="32"/>
        <v>1</v>
      </c>
      <c r="X33" s="21">
        <f t="shared" si="32"/>
        <v>0</v>
      </c>
      <c r="Y33" s="21">
        <f t="shared" si="32"/>
        <v>1</v>
      </c>
      <c r="Z33" s="21">
        <f t="shared" si="32"/>
        <v>0</v>
      </c>
      <c r="AA33" s="21">
        <f t="shared" si="32"/>
        <v>0</v>
      </c>
      <c r="AB33" s="21">
        <f t="shared" si="32"/>
        <v>1</v>
      </c>
      <c r="AC33" s="21">
        <f t="shared" si="32"/>
        <v>0</v>
      </c>
      <c r="AD33" s="21">
        <f t="shared" si="32"/>
        <v>1</v>
      </c>
      <c r="AE33" s="21">
        <f t="shared" si="32"/>
        <v>1</v>
      </c>
      <c r="AF33" s="20"/>
      <c r="AG33" s="20"/>
      <c r="AH33" s="20"/>
      <c r="AI33" s="20"/>
      <c r="AJ33" s="20"/>
      <c r="AK33" s="20"/>
    </row>
    <row r="34" ht="18.0" customHeight="1">
      <c r="A34" s="54"/>
      <c r="B34" s="55">
        <f>1+(ROW(B34)-ROW(B$13))/$A$12</f>
        <v>8</v>
      </c>
      <c r="C34" s="27">
        <f t="array" ref="C34">INDEX('Import git'!A$2:C$15,$B34,1)</f>
        <v>8</v>
      </c>
      <c r="D34" s="27" t="str">
        <f t="array" ref="D34">INDEX('Import git'!D$2:D$15,$B34)</f>
        <v>Ogre</v>
      </c>
      <c r="E34" s="56">
        <f t="array" ref="E34">INDEX('Import git'!F$2:F$15,$B34)</f>
        <v>3</v>
      </c>
      <c r="F34" s="56" t="str">
        <f t="array" ref="F34">INDEX('Import git'!G$2:G$15,$B34)</f>
        <v>3-4</v>
      </c>
      <c r="G34" s="56">
        <f t="array" ref="G34">INDEX('Import git'!H$2:H$15,$B34)</f>
        <v>4</v>
      </c>
      <c r="H34" s="56">
        <f t="array" ref="H34">INDEX('Import git'!I$2:I$15,$B34)</f>
        <v>0</v>
      </c>
      <c r="I34" s="56">
        <f t="array" ref="I34">INDEX('Import git'!J$2:J$15,$B34)</f>
        <v>2</v>
      </c>
      <c r="J34" s="56">
        <f t="array" ref="J34">INDEX('Import git'!K$2:K$15,$B34)</f>
        <v>10</v>
      </c>
      <c r="K34" s="56">
        <f t="array" ref="K34">INDEX('Import git'!L$2:L$15,$B34)</f>
        <v>0</v>
      </c>
      <c r="L34" s="56" t="str">
        <f t="array" ref="L34">INDEX('Import git'!M$2:M$15,$B34)</f>
        <v>?</v>
      </c>
      <c r="M34" s="32"/>
      <c r="N34" s="25">
        <f>G34+H34+I34+K34</f>
        <v>6</v>
      </c>
      <c r="O34" s="32"/>
      <c r="P34" s="58">
        <v>3.0</v>
      </c>
      <c r="Q34" s="58">
        <v>4.0</v>
      </c>
      <c r="R34" s="32"/>
      <c r="S34" s="58" t="s">
        <v>228</v>
      </c>
      <c r="T34" s="27">
        <f t="shared" ref="T34:AE34" si="33">CEILING(($J34-$K34)/(T$5-$I34-$K34), 1)</f>
        <v>-5</v>
      </c>
      <c r="U34" s="27">
        <f t="shared" si="33"/>
        <v>-10</v>
      </c>
      <c r="V34" s="27">
        <f t="shared" si="33"/>
        <v>-10</v>
      </c>
      <c r="W34" s="27" t="str">
        <f t="shared" si="33"/>
        <v>#DIV/0!</v>
      </c>
      <c r="X34" s="27">
        <f t="shared" si="33"/>
        <v>10</v>
      </c>
      <c r="Y34" s="27" t="str">
        <f t="shared" si="33"/>
        <v>#DIV/0!</v>
      </c>
      <c r="Z34" s="27">
        <f t="shared" si="33"/>
        <v>5</v>
      </c>
      <c r="AA34" s="27">
        <f t="shared" si="33"/>
        <v>5</v>
      </c>
      <c r="AB34" s="27" t="str">
        <f t="shared" si="33"/>
        <v>#DIV/0!</v>
      </c>
      <c r="AC34" s="27">
        <f t="shared" si="33"/>
        <v>10</v>
      </c>
      <c r="AD34" s="27">
        <f t="shared" si="33"/>
        <v>5</v>
      </c>
      <c r="AE34" s="27">
        <f t="shared" si="33"/>
        <v>4</v>
      </c>
      <c r="AF34" s="32"/>
      <c r="AG34" s="60" t="s">
        <v>254</v>
      </c>
      <c r="AH34" s="68"/>
      <c r="AI34" s="32"/>
      <c r="AJ34" s="61"/>
      <c r="AK34" s="62" t="str">
        <f t="array" ref="AK34">INDEX('Import git'!P$2:P$15,$B34)</f>
        <v/>
      </c>
    </row>
    <row r="35" ht="17.25" customHeight="1">
      <c r="A35" s="3"/>
      <c r="B35" s="3"/>
      <c r="E35" s="17"/>
      <c r="F35" s="17"/>
      <c r="G35" s="17"/>
      <c r="H35" s="17"/>
      <c r="I35" s="17"/>
      <c r="J35" s="17"/>
      <c r="K35" s="17"/>
      <c r="L35" s="17"/>
      <c r="N35" s="8"/>
      <c r="S35" s="9" t="s">
        <v>236</v>
      </c>
      <c r="T35" s="10">
        <f t="shared" ref="T35:AE35" si="34">T34*MAX($H34,$G34-T$6+$H34-T$8)</f>
        <v>-20</v>
      </c>
      <c r="U35" s="10">
        <f t="shared" si="34"/>
        <v>-40</v>
      </c>
      <c r="V35" s="10">
        <f t="shared" si="34"/>
        <v>-40</v>
      </c>
      <c r="W35" s="10" t="str">
        <f t="shared" si="34"/>
        <v>#DIV/0!</v>
      </c>
      <c r="X35" s="10">
        <f t="shared" si="34"/>
        <v>40</v>
      </c>
      <c r="Y35" s="10" t="str">
        <f t="shared" si="34"/>
        <v>#DIV/0!</v>
      </c>
      <c r="Z35" s="10">
        <f t="shared" si="34"/>
        <v>20</v>
      </c>
      <c r="AA35" s="10">
        <f t="shared" si="34"/>
        <v>10</v>
      </c>
      <c r="AB35" s="10" t="str">
        <f t="shared" si="34"/>
        <v>#DIV/0!</v>
      </c>
      <c r="AC35" s="10">
        <f t="shared" si="34"/>
        <v>10</v>
      </c>
      <c r="AD35" s="10">
        <f t="shared" si="34"/>
        <v>5</v>
      </c>
      <c r="AE35" s="10">
        <f t="shared" si="34"/>
        <v>0</v>
      </c>
    </row>
    <row r="36" ht="19.5" customHeight="1">
      <c r="A36" s="47"/>
      <c r="B36" s="47"/>
      <c r="C36" s="20"/>
      <c r="D36" s="20"/>
      <c r="E36" s="63"/>
      <c r="F36" s="63"/>
      <c r="G36" s="63"/>
      <c r="H36" s="63"/>
      <c r="I36" s="63"/>
      <c r="J36" s="63"/>
      <c r="K36" s="63"/>
      <c r="L36" s="63"/>
      <c r="M36" s="20"/>
      <c r="N36" s="64"/>
      <c r="O36" s="20"/>
      <c r="P36" s="20"/>
      <c r="Q36" s="20"/>
      <c r="R36" s="20"/>
      <c r="S36" s="19" t="s">
        <v>237</v>
      </c>
      <c r="T36" s="21">
        <f t="shared" ref="T36:AE36" si="35">IF(ISNUMBER(T35),IF(T35&lt;T$7, 1, 0), 0)</f>
        <v>1</v>
      </c>
      <c r="U36" s="21">
        <f t="shared" si="35"/>
        <v>1</v>
      </c>
      <c r="V36" s="21">
        <f t="shared" si="35"/>
        <v>1</v>
      </c>
      <c r="W36" s="21">
        <f t="shared" si="35"/>
        <v>0</v>
      </c>
      <c r="X36" s="21">
        <f t="shared" si="35"/>
        <v>0</v>
      </c>
      <c r="Y36" s="21">
        <f t="shared" si="35"/>
        <v>0</v>
      </c>
      <c r="Z36" s="21">
        <f t="shared" si="35"/>
        <v>0</v>
      </c>
      <c r="AA36" s="21">
        <f t="shared" si="35"/>
        <v>1</v>
      </c>
      <c r="AB36" s="21">
        <f t="shared" si="35"/>
        <v>0</v>
      </c>
      <c r="AC36" s="21">
        <f t="shared" si="35"/>
        <v>1</v>
      </c>
      <c r="AD36" s="21">
        <f t="shared" si="35"/>
        <v>1</v>
      </c>
      <c r="AE36" s="21">
        <f t="shared" si="35"/>
        <v>1</v>
      </c>
      <c r="AF36" s="20"/>
      <c r="AG36" s="20"/>
      <c r="AH36" s="20"/>
      <c r="AI36" s="20"/>
      <c r="AJ36" s="20"/>
      <c r="AK36" s="20"/>
    </row>
    <row r="37" ht="15.75" customHeight="1">
      <c r="A37" s="54"/>
      <c r="B37" s="55">
        <f>1+(ROW(B37)-ROW(B$13))/$A$12</f>
        <v>9</v>
      </c>
      <c r="C37" s="27">
        <f t="array" ref="C37">INDEX('Import git'!A$2:C$15,$B37,1)</f>
        <v>9</v>
      </c>
      <c r="D37" s="27" t="str">
        <f t="array" ref="D37">INDEX('Import git'!D$2:D$15,$B37)</f>
        <v>Sorcière</v>
      </c>
      <c r="E37" s="56">
        <f t="array" ref="E37">INDEX('Import git'!F$2:F$15,$B37)</f>
        <v>4</v>
      </c>
      <c r="F37" s="56" t="str">
        <f t="array" ref="F37">INDEX('Import git'!G$2:G$15,$B37)</f>
        <v>4-5</v>
      </c>
      <c r="G37" s="56">
        <f t="array" ref="G37">INDEX('Import git'!H$2:H$15,$B37)</f>
        <v>2</v>
      </c>
      <c r="H37" s="56">
        <f t="array" ref="H37">INDEX('Import git'!I$2:I$15,$B37)</f>
        <v>0</v>
      </c>
      <c r="I37" s="56">
        <f t="array" ref="I37">INDEX('Import git'!J$2:J$15,$B37)</f>
        <v>0</v>
      </c>
      <c r="J37" s="56">
        <f t="array" ref="J37">INDEX('Import git'!K$2:K$15,$B37)</f>
        <v>6</v>
      </c>
      <c r="K37" s="56">
        <f t="array" ref="K37">INDEX('Import git'!L$2:L$15,$B37)</f>
        <v>0</v>
      </c>
      <c r="L37" s="56" t="str">
        <f t="array" ref="L37">INDEX('Import git'!M$2:M$15,$B37)</f>
        <v>X</v>
      </c>
      <c r="M37" s="32"/>
      <c r="N37" s="25">
        <f>G37+H37+I37+K37</f>
        <v>2</v>
      </c>
      <c r="O37" s="32"/>
      <c r="P37" s="58">
        <v>1.0</v>
      </c>
      <c r="Q37" s="58">
        <v>3.0</v>
      </c>
      <c r="R37" s="32"/>
      <c r="S37" s="58" t="s">
        <v>228</v>
      </c>
      <c r="T37" s="27" t="str">
        <f t="shared" ref="T37:AE37" si="36">CEILING(($J37-$K37)/(T$5-$I37-$K37), 1)</f>
        <v>#DIV/0!</v>
      </c>
      <c r="U37" s="27">
        <f t="shared" si="36"/>
        <v>6</v>
      </c>
      <c r="V37" s="27">
        <f t="shared" si="36"/>
        <v>6</v>
      </c>
      <c r="W37" s="27">
        <f t="shared" si="36"/>
        <v>3</v>
      </c>
      <c r="X37" s="27">
        <f t="shared" si="36"/>
        <v>2</v>
      </c>
      <c r="Y37" s="27">
        <f t="shared" si="36"/>
        <v>3</v>
      </c>
      <c r="Z37" s="27">
        <f t="shared" si="36"/>
        <v>2</v>
      </c>
      <c r="AA37" s="27">
        <f t="shared" si="36"/>
        <v>2</v>
      </c>
      <c r="AB37" s="27">
        <f t="shared" si="36"/>
        <v>3</v>
      </c>
      <c r="AC37" s="27">
        <f t="shared" si="36"/>
        <v>2</v>
      </c>
      <c r="AD37" s="27">
        <f t="shared" si="36"/>
        <v>2</v>
      </c>
      <c r="AE37" s="27">
        <f t="shared" si="36"/>
        <v>2</v>
      </c>
      <c r="AF37" s="32"/>
      <c r="AG37" s="60" t="s">
        <v>255</v>
      </c>
      <c r="AH37" s="60" t="s">
        <v>256</v>
      </c>
      <c r="AI37" s="32"/>
      <c r="AJ37" s="67" t="s">
        <v>109</v>
      </c>
      <c r="AK37" s="62" t="str">
        <f t="array" ref="AK37">INDEX('Import git'!P$2:P$15,$B37)</f>
        <v>&lt;u&gt;Désintégration&lt;/u&gt;: Détruit 2 objets que vous transportez (choisis au hasard)&lt;br&gt;&lt;u&gt;Trésor&lt;/u&gt;: Potion de soin (+3 PV, usage unique), conservez cette carte après l'avoir éliminée</v>
      </c>
    </row>
    <row r="38" ht="16.5" customHeight="1">
      <c r="A38" s="3"/>
      <c r="B38" s="3"/>
      <c r="E38" s="17"/>
      <c r="F38" s="17"/>
      <c r="G38" s="17"/>
      <c r="H38" s="17"/>
      <c r="I38" s="17"/>
      <c r="J38" s="17"/>
      <c r="K38" s="17"/>
      <c r="L38" s="17"/>
      <c r="N38" s="8"/>
      <c r="S38" s="9" t="s">
        <v>236</v>
      </c>
      <c r="T38" s="10" t="str">
        <f t="shared" ref="T38:AE38" si="37">T37*MAX($H37,$G37-T$6+$H37-T$8)</f>
        <v>#DIV/0!</v>
      </c>
      <c r="U38" s="10">
        <f t="shared" si="37"/>
        <v>12</v>
      </c>
      <c r="V38" s="10">
        <f t="shared" si="37"/>
        <v>12</v>
      </c>
      <c r="W38" s="10">
        <f t="shared" si="37"/>
        <v>6</v>
      </c>
      <c r="X38" s="10">
        <f t="shared" si="37"/>
        <v>4</v>
      </c>
      <c r="Y38" s="10">
        <f t="shared" si="37"/>
        <v>3</v>
      </c>
      <c r="Z38" s="10">
        <f t="shared" si="37"/>
        <v>4</v>
      </c>
      <c r="AA38" s="10">
        <f t="shared" si="37"/>
        <v>0</v>
      </c>
      <c r="AB38" s="10">
        <f t="shared" si="37"/>
        <v>0</v>
      </c>
      <c r="AC38" s="10">
        <f t="shared" si="37"/>
        <v>0</v>
      </c>
      <c r="AD38" s="10">
        <f t="shared" si="37"/>
        <v>0</v>
      </c>
      <c r="AE38" s="10">
        <f t="shared" si="37"/>
        <v>0</v>
      </c>
    </row>
    <row r="39">
      <c r="A39" s="47"/>
      <c r="B39" s="47"/>
      <c r="C39" s="20"/>
      <c r="D39" s="20"/>
      <c r="E39" s="63"/>
      <c r="F39" s="63"/>
      <c r="G39" s="63"/>
      <c r="H39" s="63"/>
      <c r="I39" s="63"/>
      <c r="J39" s="63"/>
      <c r="K39" s="63"/>
      <c r="L39" s="63"/>
      <c r="M39" s="20"/>
      <c r="N39" s="64"/>
      <c r="O39" s="20"/>
      <c r="P39" s="20"/>
      <c r="Q39" s="20"/>
      <c r="R39" s="20"/>
      <c r="S39" s="19" t="s">
        <v>237</v>
      </c>
      <c r="T39" s="21">
        <f t="shared" ref="T39:AE39" si="38">IF(ISNUMBER(T38),IF(T38&lt;T$7, 1, 0), 0)</f>
        <v>0</v>
      </c>
      <c r="U39" s="21">
        <f t="shared" si="38"/>
        <v>0</v>
      </c>
      <c r="V39" s="21">
        <f t="shared" si="38"/>
        <v>0</v>
      </c>
      <c r="W39" s="21">
        <f t="shared" si="38"/>
        <v>1</v>
      </c>
      <c r="X39" s="21">
        <f t="shared" si="38"/>
        <v>1</v>
      </c>
      <c r="Y39" s="21">
        <f t="shared" si="38"/>
        <v>1</v>
      </c>
      <c r="Z39" s="21">
        <f t="shared" si="38"/>
        <v>1</v>
      </c>
      <c r="AA39" s="21">
        <f t="shared" si="38"/>
        <v>1</v>
      </c>
      <c r="AB39" s="21">
        <f t="shared" si="38"/>
        <v>1</v>
      </c>
      <c r="AC39" s="21">
        <f t="shared" si="38"/>
        <v>1</v>
      </c>
      <c r="AD39" s="21">
        <f t="shared" si="38"/>
        <v>1</v>
      </c>
      <c r="AE39" s="21">
        <f t="shared" si="38"/>
        <v>1</v>
      </c>
      <c r="AF39" s="20"/>
      <c r="AG39" s="20"/>
      <c r="AH39" s="20"/>
      <c r="AI39" s="20"/>
      <c r="AJ39" s="20"/>
      <c r="AK39" s="20"/>
    </row>
    <row r="40">
      <c r="A40" s="54"/>
      <c r="B40" s="55">
        <f>1+(ROW(B40)-ROW(B$13))/$A$12</f>
        <v>10</v>
      </c>
      <c r="C40" s="27">
        <f t="array" ref="C40">INDEX('Import git'!A$2:C$15,$B40,1)</f>
        <v>10</v>
      </c>
      <c r="D40" s="27" t="str">
        <f t="array" ref="D40">INDEX('Import git'!D$2:D$15,$B40)</f>
        <v>Spectre</v>
      </c>
      <c r="E40" s="56">
        <f t="array" ref="E40">INDEX('Import git'!F$2:F$15,$B40)</f>
        <v>4</v>
      </c>
      <c r="F40" s="56" t="str">
        <f t="array" ref="F40">INDEX('Import git'!G$2:G$15,$B40)</f>
        <v>4-5</v>
      </c>
      <c r="G40" s="56">
        <f t="array" ref="G40">INDEX('Import git'!H$2:H$15,$B40)</f>
        <v>0</v>
      </c>
      <c r="H40" s="56">
        <f t="array" ref="H40">INDEX('Import git'!I$2:I$15,$B40)</f>
        <v>2</v>
      </c>
      <c r="I40" s="56" t="str">
        <f t="array" ref="I40">INDEX('Import git'!J$2:J$15,$B40)</f>
        <v>sp</v>
      </c>
      <c r="J40" s="56">
        <f t="array" ref="J40">INDEX('Import git'!K$2:K$15,$B40)</f>
        <v>5</v>
      </c>
      <c r="K40" s="56">
        <f t="array" ref="K40">INDEX('Import git'!L$2:L$15,$B40)</f>
        <v>0</v>
      </c>
      <c r="L40" s="56" t="str">
        <f t="array" ref="L40">INDEX('Import git'!M$2:M$15,$B40)</f>
        <v/>
      </c>
      <c r="M40" s="32"/>
      <c r="N40" s="25" t="str">
        <f>G40+H40+I40+K40</f>
        <v>#VALUE!</v>
      </c>
      <c r="O40" s="32"/>
      <c r="P40" s="58">
        <v>1.0</v>
      </c>
      <c r="Q40" s="32"/>
      <c r="R40" s="32"/>
      <c r="S40" s="58" t="s">
        <v>228</v>
      </c>
      <c r="T40" s="27" t="str">
        <f t="shared" ref="T40:AE40" si="39">CEILING(($J40-$K40)/(T$5-$I40-$K40), 1)</f>
        <v>#VALUE!</v>
      </c>
      <c r="U40" s="27" t="str">
        <f t="shared" si="39"/>
        <v>#VALUE!</v>
      </c>
      <c r="V40" s="27" t="str">
        <f t="shared" si="39"/>
        <v>#VALUE!</v>
      </c>
      <c r="W40" s="27" t="str">
        <f t="shared" si="39"/>
        <v>#VALUE!</v>
      </c>
      <c r="X40" s="27" t="str">
        <f t="shared" si="39"/>
        <v>#VALUE!</v>
      </c>
      <c r="Y40" s="27" t="str">
        <f t="shared" si="39"/>
        <v>#VALUE!</v>
      </c>
      <c r="Z40" s="27" t="str">
        <f t="shared" si="39"/>
        <v>#VALUE!</v>
      </c>
      <c r="AA40" s="27" t="str">
        <f t="shared" si="39"/>
        <v>#VALUE!</v>
      </c>
      <c r="AB40" s="27" t="str">
        <f t="shared" si="39"/>
        <v>#VALUE!</v>
      </c>
      <c r="AC40" s="27" t="str">
        <f t="shared" si="39"/>
        <v>#VALUE!</v>
      </c>
      <c r="AD40" s="27" t="str">
        <f t="shared" si="39"/>
        <v>#VALUE!</v>
      </c>
      <c r="AE40" s="27" t="str">
        <f t="shared" si="39"/>
        <v>#VALUE!</v>
      </c>
      <c r="AF40" s="32"/>
      <c r="AG40" s="60" t="s">
        <v>257</v>
      </c>
      <c r="AH40" s="60" t="s">
        <v>258</v>
      </c>
      <c r="AI40" s="32"/>
      <c r="AJ40" s="67" t="s">
        <v>259</v>
      </c>
      <c r="AK40" s="62" t="str">
        <f t="array" ref="AK40">INDEX('Import git'!P$2:P$15,$B40)</f>
        <v>&lt;u&gt;Mort-vivant, immatériel&lt;/u&gt;: Encaisse 1 dégât, uniquement si arme argentée&lt;br&gt;&lt;u&gt;Toucher spectral&lt;/u&gt;: Inflige 2 dégâts automatiques&lt;br&gt;&lt;u&gt;Malédiction&lt;/u&gt;: -1 permanent en défense si vous arrivez à éliminer la carte, conservez cette carte après l'avoir éliminée</v>
      </c>
    </row>
    <row r="41">
      <c r="A41" s="3"/>
      <c r="B41" s="3"/>
      <c r="E41" s="17"/>
      <c r="F41" s="17"/>
      <c r="G41" s="17"/>
      <c r="H41" s="17"/>
      <c r="I41" s="17"/>
      <c r="J41" s="17"/>
      <c r="K41" s="17"/>
      <c r="L41" s="17"/>
      <c r="N41" s="8"/>
      <c r="S41" s="9" t="s">
        <v>236</v>
      </c>
      <c r="T41" s="10" t="str">
        <f t="shared" ref="T41:AE41" si="40">T40*MAX($H40,$G40-T$6+$H40-T$8)</f>
        <v>#VALUE!</v>
      </c>
      <c r="U41" s="10" t="str">
        <f t="shared" si="40"/>
        <v>#VALUE!</v>
      </c>
      <c r="V41" s="10" t="str">
        <f t="shared" si="40"/>
        <v>#VALUE!</v>
      </c>
      <c r="W41" s="10" t="str">
        <f t="shared" si="40"/>
        <v>#VALUE!</v>
      </c>
      <c r="X41" s="10" t="str">
        <f t="shared" si="40"/>
        <v>#VALUE!</v>
      </c>
      <c r="Y41" s="10" t="str">
        <f t="shared" si="40"/>
        <v>#VALUE!</v>
      </c>
      <c r="Z41" s="10" t="str">
        <f t="shared" si="40"/>
        <v>#VALUE!</v>
      </c>
      <c r="AA41" s="10" t="str">
        <f t="shared" si="40"/>
        <v>#VALUE!</v>
      </c>
      <c r="AB41" s="10" t="str">
        <f t="shared" si="40"/>
        <v>#VALUE!</v>
      </c>
      <c r="AC41" s="10" t="str">
        <f t="shared" si="40"/>
        <v>#VALUE!</v>
      </c>
      <c r="AD41" s="10" t="str">
        <f t="shared" si="40"/>
        <v>#VALUE!</v>
      </c>
      <c r="AE41" s="10" t="str">
        <f t="shared" si="40"/>
        <v>#VALUE!</v>
      </c>
    </row>
    <row r="42">
      <c r="A42" s="47"/>
      <c r="B42" s="47"/>
      <c r="C42" s="20"/>
      <c r="D42" s="20"/>
      <c r="E42" s="63"/>
      <c r="F42" s="63"/>
      <c r="G42" s="63"/>
      <c r="H42" s="63"/>
      <c r="I42" s="63"/>
      <c r="J42" s="63"/>
      <c r="K42" s="63"/>
      <c r="L42" s="63"/>
      <c r="M42" s="20"/>
      <c r="N42" s="64"/>
      <c r="O42" s="20"/>
      <c r="P42" s="20"/>
      <c r="Q42" s="20"/>
      <c r="R42" s="20"/>
      <c r="S42" s="19" t="s">
        <v>237</v>
      </c>
      <c r="T42" s="21">
        <f t="shared" ref="T42:AE42" si="41">IF(ISNUMBER(T41),IF(T41&lt;T$7, 1, 0), 0)</f>
        <v>0</v>
      </c>
      <c r="U42" s="21">
        <f t="shared" si="41"/>
        <v>0</v>
      </c>
      <c r="V42" s="21">
        <f t="shared" si="41"/>
        <v>0</v>
      </c>
      <c r="W42" s="21">
        <f t="shared" si="41"/>
        <v>0</v>
      </c>
      <c r="X42" s="21">
        <f t="shared" si="41"/>
        <v>0</v>
      </c>
      <c r="Y42" s="21">
        <f t="shared" si="41"/>
        <v>0</v>
      </c>
      <c r="Z42" s="21">
        <f t="shared" si="41"/>
        <v>0</v>
      </c>
      <c r="AA42" s="21">
        <f t="shared" si="41"/>
        <v>0</v>
      </c>
      <c r="AB42" s="21">
        <f t="shared" si="41"/>
        <v>0</v>
      </c>
      <c r="AC42" s="21">
        <f t="shared" si="41"/>
        <v>0</v>
      </c>
      <c r="AD42" s="21">
        <f t="shared" si="41"/>
        <v>0</v>
      </c>
      <c r="AE42" s="21">
        <f t="shared" si="41"/>
        <v>0</v>
      </c>
      <c r="AF42" s="20"/>
      <c r="AG42" s="20"/>
      <c r="AH42" s="20"/>
      <c r="AI42" s="20"/>
      <c r="AJ42" s="20"/>
      <c r="AK42" s="20"/>
    </row>
    <row r="43" ht="17.25" customHeight="1">
      <c r="A43" s="54"/>
      <c r="B43" s="55">
        <f>1+(ROW(B43)-ROW(B$13))/$A$12</f>
        <v>11</v>
      </c>
      <c r="C43" s="27">
        <f t="array" ref="C43">INDEX('Import git'!A$2:C$15,$B43,1)</f>
        <v>11</v>
      </c>
      <c r="D43" s="27" t="str">
        <f t="array" ref="D43">INDEX('Import git'!D$2:D$15,$B43)</f>
        <v>Chevalier du chaos</v>
      </c>
      <c r="E43" s="56">
        <f t="array" ref="E43">INDEX('Import git'!F$2:F$15,$B43)</f>
        <v>6</v>
      </c>
      <c r="F43" s="56" t="str">
        <f t="array" ref="F43">INDEX('Import git'!G$2:G$15,$B43)</f>
        <v>6</v>
      </c>
      <c r="G43" s="56">
        <f t="array" ref="G43">INDEX('Import git'!H$2:H$15,$B43)</f>
        <v>5</v>
      </c>
      <c r="H43" s="56">
        <f t="array" ref="H43">INDEX('Import git'!I$2:I$15,$B43)</f>
        <v>0</v>
      </c>
      <c r="I43" s="56">
        <f t="array" ref="I43">INDEX('Import git'!J$2:J$15,$B43)</f>
        <v>2</v>
      </c>
      <c r="J43" s="56">
        <f t="array" ref="J43">INDEX('Import git'!K$2:K$15,$B43)</f>
        <v>8</v>
      </c>
      <c r="K43" s="56">
        <f t="array" ref="K43">INDEX('Import git'!L$2:L$15,$B43)</f>
        <v>0</v>
      </c>
      <c r="L43" s="56" t="str">
        <f t="array" ref="L43">INDEX('Import git'!M$2:M$15,$B43)</f>
        <v>X</v>
      </c>
      <c r="M43" s="32"/>
      <c r="N43" s="25">
        <f>G43+H43+I43+K43</f>
        <v>7</v>
      </c>
      <c r="O43" s="32"/>
      <c r="P43" s="58">
        <v>3.0</v>
      </c>
      <c r="Q43" s="32"/>
      <c r="R43" s="32"/>
      <c r="S43" s="58" t="s">
        <v>228</v>
      </c>
      <c r="T43" s="27">
        <f t="shared" ref="T43:AE43" si="42">CEILING(($J43-$K43)/(T$5-$I43-$K43), 1)</f>
        <v>-4</v>
      </c>
      <c r="U43" s="27">
        <f t="shared" si="42"/>
        <v>-8</v>
      </c>
      <c r="V43" s="27">
        <f t="shared" si="42"/>
        <v>-8</v>
      </c>
      <c r="W43" s="27" t="str">
        <f t="shared" si="42"/>
        <v>#DIV/0!</v>
      </c>
      <c r="X43" s="27">
        <f t="shared" si="42"/>
        <v>8</v>
      </c>
      <c r="Y43" s="27" t="str">
        <f t="shared" si="42"/>
        <v>#DIV/0!</v>
      </c>
      <c r="Z43" s="27">
        <f t="shared" si="42"/>
        <v>4</v>
      </c>
      <c r="AA43" s="27">
        <f t="shared" si="42"/>
        <v>4</v>
      </c>
      <c r="AB43" s="27" t="str">
        <f t="shared" si="42"/>
        <v>#DIV/0!</v>
      </c>
      <c r="AC43" s="27">
        <f t="shared" si="42"/>
        <v>8</v>
      </c>
      <c r="AD43" s="27">
        <f t="shared" si="42"/>
        <v>4</v>
      </c>
      <c r="AE43" s="27">
        <f t="shared" si="42"/>
        <v>3</v>
      </c>
      <c r="AF43" s="32"/>
      <c r="AG43" s="60" t="s">
        <v>260</v>
      </c>
      <c r="AH43" s="68"/>
      <c r="AI43" s="32"/>
      <c r="AJ43" s="67" t="s">
        <v>261</v>
      </c>
      <c r="AK43" s="62" t="str">
        <f t="array" ref="AK43">INDEX('Import git'!P$2:P$15,$B43)</f>
        <v>&lt;u&gt;Trésor&lt;/u&gt;: Épée démoniaque (+1 en attaque), conservez cette carte après l'avoir éliminée</v>
      </c>
    </row>
    <row r="44" ht="17.25" customHeight="1">
      <c r="A44" s="3"/>
      <c r="B44" s="3"/>
      <c r="E44" s="17"/>
      <c r="F44" s="17"/>
      <c r="G44" s="17"/>
      <c r="H44" s="17"/>
      <c r="I44" s="17"/>
      <c r="J44" s="17"/>
      <c r="K44" s="17"/>
      <c r="L44" s="17"/>
      <c r="N44" s="8"/>
      <c r="S44" s="9" t="s">
        <v>236</v>
      </c>
      <c r="T44" s="10">
        <f t="shared" ref="T44:AE44" si="43">T43*MAX($H43,$G43-T$6+$H43-T$8)</f>
        <v>-20</v>
      </c>
      <c r="U44" s="10">
        <f t="shared" si="43"/>
        <v>-40</v>
      </c>
      <c r="V44" s="10">
        <f t="shared" si="43"/>
        <v>-40</v>
      </c>
      <c r="W44" s="10" t="str">
        <f t="shared" si="43"/>
        <v>#DIV/0!</v>
      </c>
      <c r="X44" s="10">
        <f t="shared" si="43"/>
        <v>40</v>
      </c>
      <c r="Y44" s="10" t="str">
        <f t="shared" si="43"/>
        <v>#DIV/0!</v>
      </c>
      <c r="Z44" s="10">
        <f t="shared" si="43"/>
        <v>20</v>
      </c>
      <c r="AA44" s="10">
        <f t="shared" si="43"/>
        <v>12</v>
      </c>
      <c r="AB44" s="10" t="str">
        <f t="shared" si="43"/>
        <v>#DIV/0!</v>
      </c>
      <c r="AC44" s="10">
        <f t="shared" si="43"/>
        <v>16</v>
      </c>
      <c r="AD44" s="10">
        <f t="shared" si="43"/>
        <v>8</v>
      </c>
      <c r="AE44" s="10">
        <f t="shared" si="43"/>
        <v>0</v>
      </c>
    </row>
    <row r="45" ht="16.5" customHeight="1">
      <c r="A45" s="47"/>
      <c r="B45" s="47"/>
      <c r="C45" s="20"/>
      <c r="D45" s="20"/>
      <c r="E45" s="63"/>
      <c r="F45" s="63"/>
      <c r="G45" s="63"/>
      <c r="H45" s="63"/>
      <c r="I45" s="63"/>
      <c r="J45" s="63"/>
      <c r="K45" s="63"/>
      <c r="L45" s="63"/>
      <c r="M45" s="20"/>
      <c r="N45" s="64"/>
      <c r="O45" s="20"/>
      <c r="P45" s="20"/>
      <c r="Q45" s="20"/>
      <c r="R45" s="20"/>
      <c r="S45" s="19" t="s">
        <v>237</v>
      </c>
      <c r="T45" s="21">
        <f t="shared" ref="T45:AE45" si="44">IF(ISNUMBER(T44),IF(T44&lt;T$7, 1, 0), 0)</f>
        <v>1</v>
      </c>
      <c r="U45" s="21">
        <f t="shared" si="44"/>
        <v>1</v>
      </c>
      <c r="V45" s="21">
        <f t="shared" si="44"/>
        <v>1</v>
      </c>
      <c r="W45" s="21">
        <f t="shared" si="44"/>
        <v>0</v>
      </c>
      <c r="X45" s="21">
        <f t="shared" si="44"/>
        <v>0</v>
      </c>
      <c r="Y45" s="21">
        <f t="shared" si="44"/>
        <v>0</v>
      </c>
      <c r="Z45" s="21">
        <f t="shared" si="44"/>
        <v>0</v>
      </c>
      <c r="AA45" s="21">
        <f t="shared" si="44"/>
        <v>0</v>
      </c>
      <c r="AB45" s="21">
        <f t="shared" si="44"/>
        <v>0</v>
      </c>
      <c r="AC45" s="21">
        <f t="shared" si="44"/>
        <v>0</v>
      </c>
      <c r="AD45" s="21">
        <f t="shared" si="44"/>
        <v>1</v>
      </c>
      <c r="AE45" s="21">
        <f t="shared" si="44"/>
        <v>1</v>
      </c>
      <c r="AF45" s="20"/>
      <c r="AG45" s="20"/>
      <c r="AH45" s="20"/>
      <c r="AI45" s="20"/>
      <c r="AJ45" s="20"/>
      <c r="AK45" s="20"/>
    </row>
    <row r="46">
      <c r="A46" s="54"/>
      <c r="B46" s="55">
        <f>1+(ROW(B46)-ROW(B$13))/$A$12</f>
        <v>12</v>
      </c>
      <c r="C46" s="27">
        <f t="array" ref="C46">INDEX('Import git'!A$2:C$15,$B46,1)</f>
        <v>12</v>
      </c>
      <c r="D46" s="27" t="str">
        <f t="array" ref="D46">INDEX('Import git'!D$2:D$15,$B46)</f>
        <v>Golem</v>
      </c>
      <c r="E46" s="56">
        <f t="array" ref="E46">INDEX('Import git'!F$2:F$15,$B46)</f>
        <v>6</v>
      </c>
      <c r="F46" s="56" t="str">
        <f t="array" ref="F46">INDEX('Import git'!G$2:G$15,$B46)</f>
        <v>6</v>
      </c>
      <c r="G46" s="56">
        <f t="array" ref="G46">INDEX('Import git'!H$2:H$15,$B46)</f>
        <v>5</v>
      </c>
      <c r="H46" s="56">
        <f t="array" ref="H46">INDEX('Import git'!I$2:I$15,$B46)</f>
        <v>0</v>
      </c>
      <c r="I46" s="56">
        <f t="array" ref="I46">INDEX('Import git'!J$2:J$15,$B46)</f>
        <v>3</v>
      </c>
      <c r="J46" s="56">
        <f t="array" ref="J46">INDEX('Import git'!K$2:K$15,$B46)</f>
        <v>12</v>
      </c>
      <c r="K46" s="56">
        <f t="array" ref="K46">INDEX('Import git'!L$2:L$15,$B46)</f>
        <v>2</v>
      </c>
      <c r="L46" s="56" t="str">
        <f t="array" ref="L46">INDEX('Import git'!M$2:M$15,$B46)</f>
        <v>?</v>
      </c>
      <c r="M46" s="32"/>
      <c r="N46" s="25">
        <f>G46+H46+I46+K46</f>
        <v>10</v>
      </c>
      <c r="O46" s="32"/>
      <c r="P46" s="58">
        <v>4.0</v>
      </c>
      <c r="Q46" s="32"/>
      <c r="R46" s="32"/>
      <c r="S46" s="58" t="s">
        <v>228</v>
      </c>
      <c r="T46" s="27">
        <f t="shared" ref="T46:AE46" si="45">CEILING(($J46-$K46)/(T$5-$I46-$K46), 1)</f>
        <v>-2</v>
      </c>
      <c r="U46" s="27">
        <f t="shared" si="45"/>
        <v>-2</v>
      </c>
      <c r="V46" s="27">
        <f t="shared" si="45"/>
        <v>-2</v>
      </c>
      <c r="W46" s="27">
        <f t="shared" si="45"/>
        <v>-3</v>
      </c>
      <c r="X46" s="27">
        <f t="shared" si="45"/>
        <v>-5</v>
      </c>
      <c r="Y46" s="27">
        <f t="shared" si="45"/>
        <v>-3</v>
      </c>
      <c r="Z46" s="27">
        <f t="shared" si="45"/>
        <v>-10</v>
      </c>
      <c r="AA46" s="27">
        <f t="shared" si="45"/>
        <v>-10</v>
      </c>
      <c r="AB46" s="27">
        <f t="shared" si="45"/>
        <v>-3</v>
      </c>
      <c r="AC46" s="27">
        <f t="shared" si="45"/>
        <v>-5</v>
      </c>
      <c r="AD46" s="27">
        <f t="shared" si="45"/>
        <v>-10</v>
      </c>
      <c r="AE46" s="27" t="str">
        <f t="shared" si="45"/>
        <v>#DIV/0!</v>
      </c>
      <c r="AF46" s="32"/>
      <c r="AG46" s="68"/>
      <c r="AH46" s="68"/>
      <c r="AI46" s="32"/>
      <c r="AJ46" s="61"/>
      <c r="AK46" s="62" t="str">
        <f t="array" ref="AK46">INDEX('Import git'!P$2:P$15,$B46)</f>
        <v/>
      </c>
    </row>
    <row r="47">
      <c r="A47" s="3"/>
      <c r="B47" s="3"/>
      <c r="E47" s="17"/>
      <c r="F47" s="17"/>
      <c r="G47" s="17"/>
      <c r="H47" s="17"/>
      <c r="I47" s="17"/>
      <c r="J47" s="17"/>
      <c r="K47" s="17"/>
      <c r="L47" s="17"/>
      <c r="N47" s="8"/>
      <c r="S47" s="9" t="s">
        <v>236</v>
      </c>
      <c r="T47" s="10">
        <f t="shared" ref="T47:AE47" si="46">T46*MAX($H46,$G46-T$6+$H46-T$8)</f>
        <v>-10</v>
      </c>
      <c r="U47" s="10">
        <f t="shared" si="46"/>
        <v>-10</v>
      </c>
      <c r="V47" s="10">
        <f t="shared" si="46"/>
        <v>-10</v>
      </c>
      <c r="W47" s="10">
        <f t="shared" si="46"/>
        <v>-15</v>
      </c>
      <c r="X47" s="10">
        <f t="shared" si="46"/>
        <v>-25</v>
      </c>
      <c r="Y47" s="10">
        <f t="shared" si="46"/>
        <v>-12</v>
      </c>
      <c r="Z47" s="10">
        <f t="shared" si="46"/>
        <v>-50</v>
      </c>
      <c r="AA47" s="10">
        <f t="shared" si="46"/>
        <v>-30</v>
      </c>
      <c r="AB47" s="10">
        <f t="shared" si="46"/>
        <v>-6</v>
      </c>
      <c r="AC47" s="10">
        <f t="shared" si="46"/>
        <v>-10</v>
      </c>
      <c r="AD47" s="10">
        <f t="shared" si="46"/>
        <v>-20</v>
      </c>
      <c r="AE47" s="10" t="str">
        <f t="shared" si="46"/>
        <v>#DIV/0!</v>
      </c>
    </row>
    <row r="48">
      <c r="A48" s="47"/>
      <c r="B48" s="47"/>
      <c r="C48" s="20"/>
      <c r="D48" s="20"/>
      <c r="E48" s="63"/>
      <c r="F48" s="63"/>
      <c r="G48" s="63"/>
      <c r="H48" s="63"/>
      <c r="I48" s="63"/>
      <c r="J48" s="63"/>
      <c r="K48" s="63"/>
      <c r="L48" s="63"/>
      <c r="M48" s="20"/>
      <c r="N48" s="64"/>
      <c r="O48" s="20"/>
      <c r="P48" s="20"/>
      <c r="Q48" s="20"/>
      <c r="R48" s="20"/>
      <c r="S48" s="19" t="s">
        <v>237</v>
      </c>
      <c r="T48" s="21">
        <f t="shared" ref="T48:AE48" si="47">IF(ISNUMBER(T47),IF(T47&lt;T$7, 1, 0), 0)</f>
        <v>1</v>
      </c>
      <c r="U48" s="21">
        <f t="shared" si="47"/>
        <v>1</v>
      </c>
      <c r="V48" s="21">
        <f t="shared" si="47"/>
        <v>1</v>
      </c>
      <c r="W48" s="21">
        <f t="shared" si="47"/>
        <v>1</v>
      </c>
      <c r="X48" s="21">
        <f t="shared" si="47"/>
        <v>1</v>
      </c>
      <c r="Y48" s="21">
        <f t="shared" si="47"/>
        <v>1</v>
      </c>
      <c r="Z48" s="21">
        <f t="shared" si="47"/>
        <v>1</v>
      </c>
      <c r="AA48" s="21">
        <f t="shared" si="47"/>
        <v>1</v>
      </c>
      <c r="AB48" s="21">
        <f t="shared" si="47"/>
        <v>1</v>
      </c>
      <c r="AC48" s="21">
        <f t="shared" si="47"/>
        <v>1</v>
      </c>
      <c r="AD48" s="21">
        <f t="shared" si="47"/>
        <v>1</v>
      </c>
      <c r="AE48" s="21">
        <f t="shared" si="47"/>
        <v>0</v>
      </c>
      <c r="AF48" s="20"/>
      <c r="AG48" s="20"/>
      <c r="AH48" s="20"/>
      <c r="AI48" s="20"/>
      <c r="AJ48" s="20"/>
      <c r="AK48" s="20"/>
    </row>
    <row r="49" ht="18.75" customHeight="1">
      <c r="A49" s="54"/>
      <c r="B49" s="55">
        <f>1+(ROW(B49)-ROW(B$13))/$A$12</f>
        <v>13</v>
      </c>
      <c r="C49" s="27">
        <f t="array" ref="C49">INDEX('Import git'!A$2:C$15,$B49,1)</f>
        <v>13</v>
      </c>
      <c r="D49" s="27" t="str">
        <f t="array" ref="D49">INDEX('Import git'!D$2:D$15,$B49)</f>
        <v>Nécromant</v>
      </c>
      <c r="E49" s="56">
        <f t="array" ref="E49">INDEX('Import git'!F$2:F$15,$B49)</f>
        <v>6</v>
      </c>
      <c r="F49" s="56" t="str">
        <f t="array" ref="F49">INDEX('Import git'!G$2:G$15,$B49)</f>
        <v>6</v>
      </c>
      <c r="G49" s="56">
        <f t="array" ref="G49">INDEX('Import git'!H$2:H$15,$B49)</f>
        <v>4</v>
      </c>
      <c r="H49" s="56">
        <f t="array" ref="H49">INDEX('Import git'!I$2:I$15,$B49)</f>
        <v>1</v>
      </c>
      <c r="I49" s="56">
        <f t="array" ref="I49">INDEX('Import git'!J$2:J$15,$B49)</f>
        <v>1</v>
      </c>
      <c r="J49" s="56">
        <f t="array" ref="J49">INDEX('Import git'!K$2:K$15,$B49)</f>
        <v>10</v>
      </c>
      <c r="K49" s="56">
        <f t="array" ref="K49">INDEX('Import git'!L$2:L$15,$B49)</f>
        <v>0</v>
      </c>
      <c r="L49" s="56" t="str">
        <f t="array" ref="L49">INDEX('Import git'!M$2:M$15,$B49)</f>
        <v>X</v>
      </c>
      <c r="M49" s="32"/>
      <c r="N49" s="25">
        <f>G49+H49+I49+K49</f>
        <v>6</v>
      </c>
      <c r="O49" s="32"/>
      <c r="P49" s="58">
        <v>3.0</v>
      </c>
      <c r="Q49" s="32"/>
      <c r="R49" s="32"/>
      <c r="S49" s="58" t="s">
        <v>228</v>
      </c>
      <c r="T49" s="27">
        <f t="shared" ref="T49:AE49" si="48">CEILING(($J49-$K49)/(T$5-$I49-$K49), 1)</f>
        <v>-10</v>
      </c>
      <c r="U49" s="27" t="str">
        <f t="shared" si="48"/>
        <v>#DIV/0!</v>
      </c>
      <c r="V49" s="27" t="str">
        <f t="shared" si="48"/>
        <v>#DIV/0!</v>
      </c>
      <c r="W49" s="27">
        <f t="shared" si="48"/>
        <v>10</v>
      </c>
      <c r="X49" s="27">
        <f t="shared" si="48"/>
        <v>5</v>
      </c>
      <c r="Y49" s="27">
        <f t="shared" si="48"/>
        <v>10</v>
      </c>
      <c r="Z49" s="27">
        <f t="shared" si="48"/>
        <v>4</v>
      </c>
      <c r="AA49" s="27">
        <f t="shared" si="48"/>
        <v>4</v>
      </c>
      <c r="AB49" s="27">
        <f t="shared" si="48"/>
        <v>10</v>
      </c>
      <c r="AC49" s="27">
        <f t="shared" si="48"/>
        <v>5</v>
      </c>
      <c r="AD49" s="27">
        <f t="shared" si="48"/>
        <v>4</v>
      </c>
      <c r="AE49" s="27">
        <f t="shared" si="48"/>
        <v>3</v>
      </c>
      <c r="AF49" s="32"/>
      <c r="AG49" s="60" t="s">
        <v>262</v>
      </c>
      <c r="AH49" s="60" t="s">
        <v>263</v>
      </c>
      <c r="AI49" s="32"/>
      <c r="AJ49" s="67" t="s">
        <v>124</v>
      </c>
      <c r="AK49" s="62" t="str">
        <f t="array" ref="AK49">INDEX('Import git'!P$2:P$15,$B49)</f>
        <v>&lt;u&gt;Main de mort&lt;/u&gt;: Inflige 1 dégât automatique</v>
      </c>
    </row>
    <row r="50" ht="18.75" customHeight="1">
      <c r="A50" s="3"/>
      <c r="B50" s="3"/>
      <c r="E50" s="17"/>
      <c r="F50" s="17"/>
      <c r="G50" s="17"/>
      <c r="H50" s="17"/>
      <c r="I50" s="17"/>
      <c r="J50" s="17"/>
      <c r="K50" s="17"/>
      <c r="L50" s="17"/>
      <c r="N50" s="8"/>
      <c r="S50" s="9" t="s">
        <v>236</v>
      </c>
      <c r="T50" s="10">
        <f t="shared" ref="T50:AE50" si="49">T49*MAX($H49,$G49-T$6+$H49-T$8)</f>
        <v>-50</v>
      </c>
      <c r="U50" s="10" t="str">
        <f t="shared" si="49"/>
        <v>#DIV/0!</v>
      </c>
      <c r="V50" s="10" t="str">
        <f t="shared" si="49"/>
        <v>#DIV/0!</v>
      </c>
      <c r="W50" s="10">
        <f t="shared" si="49"/>
        <v>50</v>
      </c>
      <c r="X50" s="10">
        <f t="shared" si="49"/>
        <v>25</v>
      </c>
      <c r="Y50" s="10">
        <f t="shared" si="49"/>
        <v>40</v>
      </c>
      <c r="Z50" s="10">
        <f t="shared" si="49"/>
        <v>20</v>
      </c>
      <c r="AA50" s="10">
        <f t="shared" si="49"/>
        <v>12</v>
      </c>
      <c r="AB50" s="10">
        <f t="shared" si="49"/>
        <v>20</v>
      </c>
      <c r="AC50" s="10">
        <f t="shared" si="49"/>
        <v>10</v>
      </c>
      <c r="AD50" s="10">
        <f t="shared" si="49"/>
        <v>8</v>
      </c>
      <c r="AE50" s="10">
        <f t="shared" si="49"/>
        <v>3</v>
      </c>
    </row>
    <row r="51" ht="24.0" customHeight="1">
      <c r="A51" s="47"/>
      <c r="B51" s="47"/>
      <c r="C51" s="20"/>
      <c r="D51" s="20"/>
      <c r="E51" s="63"/>
      <c r="F51" s="63"/>
      <c r="G51" s="63"/>
      <c r="H51" s="63"/>
      <c r="I51" s="63"/>
      <c r="J51" s="63"/>
      <c r="K51" s="63"/>
      <c r="L51" s="63"/>
      <c r="M51" s="20"/>
      <c r="N51" s="64"/>
      <c r="O51" s="20"/>
      <c r="P51" s="20"/>
      <c r="Q51" s="20"/>
      <c r="R51" s="20"/>
      <c r="S51" s="19" t="s">
        <v>237</v>
      </c>
      <c r="T51" s="21">
        <f t="shared" ref="T51:AE51" si="50">IF(ISNUMBER(T50),IF(T50&lt;T$7, 1, 0), 0)</f>
        <v>1</v>
      </c>
      <c r="U51" s="21">
        <f t="shared" si="50"/>
        <v>0</v>
      </c>
      <c r="V51" s="21">
        <f t="shared" si="50"/>
        <v>0</v>
      </c>
      <c r="W51" s="21">
        <f t="shared" si="50"/>
        <v>0</v>
      </c>
      <c r="X51" s="21">
        <f t="shared" si="50"/>
        <v>0</v>
      </c>
      <c r="Y51" s="21">
        <f t="shared" si="50"/>
        <v>0</v>
      </c>
      <c r="Z51" s="21">
        <f t="shared" si="50"/>
        <v>0</v>
      </c>
      <c r="AA51" s="21">
        <f t="shared" si="50"/>
        <v>0</v>
      </c>
      <c r="AB51" s="21">
        <f t="shared" si="50"/>
        <v>0</v>
      </c>
      <c r="AC51" s="21">
        <f t="shared" si="50"/>
        <v>1</v>
      </c>
      <c r="AD51" s="21">
        <f t="shared" si="50"/>
        <v>1</v>
      </c>
      <c r="AE51" s="21">
        <f t="shared" si="50"/>
        <v>1</v>
      </c>
      <c r="AF51" s="20"/>
      <c r="AG51" s="20"/>
      <c r="AH51" s="20"/>
      <c r="AI51" s="20"/>
      <c r="AJ51" s="20"/>
      <c r="AK51" s="20"/>
    </row>
    <row r="52" ht="16.5" customHeight="1">
      <c r="A52" s="54"/>
      <c r="B52" s="55">
        <f>1+(ROW(B52)-ROW(B$13))/$A$12</f>
        <v>14</v>
      </c>
      <c r="C52" s="27">
        <f t="array" ref="C52">INDEX('Import git'!A$2:C$15,$B52,1)</f>
        <v>14</v>
      </c>
      <c r="D52" s="27" t="str">
        <f t="array" ref="D52">INDEX('Import git'!D$2:D$15,$B52)</f>
        <v>Vampire</v>
      </c>
      <c r="E52" s="56">
        <f t="array" ref="E52">INDEX('Import git'!F$2:F$15,$B52)</f>
        <v>6</v>
      </c>
      <c r="F52" s="56" t="str">
        <f t="array" ref="F52">INDEX('Import git'!G$2:G$15,$B52)</f>
        <v>4-5</v>
      </c>
      <c r="G52" s="56">
        <f t="array" ref="G52">INDEX('Import git'!H$2:H$15,$B52)</f>
        <v>4</v>
      </c>
      <c r="H52" s="56">
        <f t="array" ref="H52">INDEX('Import git'!I$2:I$15,$B52)</f>
        <v>2</v>
      </c>
      <c r="I52" s="56">
        <f t="array" ref="I52">INDEX('Import git'!J$2:J$15,$B52)</f>
        <v>2</v>
      </c>
      <c r="J52" s="56">
        <f t="array" ref="J52">INDEX('Import git'!K$2:K$15,$B52)</f>
        <v>8</v>
      </c>
      <c r="K52" s="56">
        <f t="array" ref="K52">INDEX('Import git'!L$2:L$15,$B52)</f>
        <v>1</v>
      </c>
      <c r="L52" s="56" t="str">
        <f t="array" ref="L52">INDEX('Import git'!M$2:M$15,$B52)</f>
        <v>X</v>
      </c>
      <c r="M52" s="32"/>
      <c r="N52" s="25">
        <f>G52+H52+I52+K52</f>
        <v>9</v>
      </c>
      <c r="O52" s="32"/>
      <c r="P52" s="58">
        <v>4.0</v>
      </c>
      <c r="Q52" s="32"/>
      <c r="R52" s="32"/>
      <c r="S52" s="58" t="s">
        <v>228</v>
      </c>
      <c r="T52" s="27">
        <f t="shared" ref="T52:AE52" si="51">CEILING(($J52-$K52)/(T$5-$I52-$K52), 1)</f>
        <v>-2</v>
      </c>
      <c r="U52" s="27">
        <f t="shared" si="51"/>
        <v>-3</v>
      </c>
      <c r="V52" s="27">
        <f t="shared" si="51"/>
        <v>-3</v>
      </c>
      <c r="W52" s="27">
        <f t="shared" si="51"/>
        <v>-7</v>
      </c>
      <c r="X52" s="27" t="str">
        <f t="shared" si="51"/>
        <v>#DIV/0!</v>
      </c>
      <c r="Y52" s="27">
        <f t="shared" si="51"/>
        <v>-7</v>
      </c>
      <c r="Z52" s="27">
        <f t="shared" si="51"/>
        <v>7</v>
      </c>
      <c r="AA52" s="27">
        <f t="shared" si="51"/>
        <v>7</v>
      </c>
      <c r="AB52" s="27">
        <f t="shared" si="51"/>
        <v>-7</v>
      </c>
      <c r="AC52" s="27" t="str">
        <f t="shared" si="51"/>
        <v>#DIV/0!</v>
      </c>
      <c r="AD52" s="27">
        <f t="shared" si="51"/>
        <v>7</v>
      </c>
      <c r="AE52" s="27">
        <f t="shared" si="51"/>
        <v>4</v>
      </c>
      <c r="AF52" s="32"/>
      <c r="AG52" s="60" t="s">
        <v>264</v>
      </c>
      <c r="AH52" s="60" t="s">
        <v>265</v>
      </c>
      <c r="AI52" s="32"/>
      <c r="AJ52" s="67" t="s">
        <v>266</v>
      </c>
      <c r="AK52" s="62" t="str">
        <f t="array" ref="AK52">INDEX('Import git'!P$2:P$15,$B52)</f>
        <v>&lt;u&gt;Mort-vivant&lt;/u&gt;: Encaisse 1 dégât supplémentaire si arme argentée&lt;br&gt;&lt;u&gt;Toucher spectral&lt;/u&gt;: Inflige 2 dégâts automatiques&lt;br&gt;&lt;u&gt;Vampire&lt;/u&gt;: Prend 2 dégâts automatique face à une torche utilisée comme arme.</v>
      </c>
    </row>
    <row r="53" ht="15.0" customHeight="1">
      <c r="A53" s="3"/>
      <c r="B53" s="3"/>
      <c r="E53" s="17"/>
      <c r="F53" s="17"/>
      <c r="G53" s="17"/>
      <c r="H53" s="17"/>
      <c r="I53" s="17"/>
      <c r="J53" s="17"/>
      <c r="K53" s="17"/>
      <c r="L53" s="17"/>
      <c r="N53" s="8"/>
      <c r="S53" s="9" t="s">
        <v>236</v>
      </c>
      <c r="T53" s="10">
        <f t="shared" ref="T53:AE53" si="52">T52*MAX($H52,$G52-T$6+$H52-T$8)</f>
        <v>-12</v>
      </c>
      <c r="U53" s="10">
        <f t="shared" si="52"/>
        <v>-18</v>
      </c>
      <c r="V53" s="10">
        <f t="shared" si="52"/>
        <v>-18</v>
      </c>
      <c r="W53" s="10">
        <f t="shared" si="52"/>
        <v>-42</v>
      </c>
      <c r="X53" s="10" t="str">
        <f t="shared" si="52"/>
        <v>#DIV/0!</v>
      </c>
      <c r="Y53" s="10">
        <f t="shared" si="52"/>
        <v>-35</v>
      </c>
      <c r="Z53" s="10">
        <f t="shared" si="52"/>
        <v>42</v>
      </c>
      <c r="AA53" s="10">
        <f t="shared" si="52"/>
        <v>28</v>
      </c>
      <c r="AB53" s="10">
        <f t="shared" si="52"/>
        <v>-21</v>
      </c>
      <c r="AC53" s="10" t="str">
        <f t="shared" si="52"/>
        <v>#DIV/0!</v>
      </c>
      <c r="AD53" s="10">
        <f t="shared" si="52"/>
        <v>21</v>
      </c>
      <c r="AE53" s="10">
        <f t="shared" si="52"/>
        <v>8</v>
      </c>
    </row>
    <row r="54">
      <c r="A54" s="47"/>
      <c r="B54" s="47"/>
      <c r="C54" s="20"/>
      <c r="D54" s="20"/>
      <c r="E54" s="63"/>
      <c r="F54" s="63"/>
      <c r="G54" s="63"/>
      <c r="H54" s="63"/>
      <c r="I54" s="63"/>
      <c r="J54" s="63"/>
      <c r="K54" s="63"/>
      <c r="L54" s="63"/>
      <c r="M54" s="20"/>
      <c r="N54" s="64"/>
      <c r="O54" s="20"/>
      <c r="P54" s="20"/>
      <c r="Q54" s="20"/>
      <c r="R54" s="20"/>
      <c r="S54" s="19" t="s">
        <v>237</v>
      </c>
      <c r="T54" s="21">
        <f t="shared" ref="T54:AE54" si="53">IF(ISNUMBER(T53),IF(T53&lt;T$7, 1, 0), 0)</f>
        <v>1</v>
      </c>
      <c r="U54" s="21">
        <f t="shared" si="53"/>
        <v>1</v>
      </c>
      <c r="V54" s="21">
        <f t="shared" si="53"/>
        <v>1</v>
      </c>
      <c r="W54" s="21">
        <f t="shared" si="53"/>
        <v>1</v>
      </c>
      <c r="X54" s="21">
        <f t="shared" si="53"/>
        <v>0</v>
      </c>
      <c r="Y54" s="21">
        <f t="shared" si="53"/>
        <v>1</v>
      </c>
      <c r="Z54" s="21">
        <f t="shared" si="53"/>
        <v>0</v>
      </c>
      <c r="AA54" s="21">
        <f t="shared" si="53"/>
        <v>0</v>
      </c>
      <c r="AB54" s="21">
        <f t="shared" si="53"/>
        <v>1</v>
      </c>
      <c r="AC54" s="21">
        <f t="shared" si="53"/>
        <v>0</v>
      </c>
      <c r="AD54" s="21">
        <f t="shared" si="53"/>
        <v>0</v>
      </c>
      <c r="AE54" s="21">
        <f t="shared" si="53"/>
        <v>1</v>
      </c>
      <c r="AF54" s="20"/>
      <c r="AG54" s="20"/>
      <c r="AH54" s="20"/>
      <c r="AI54" s="20"/>
      <c r="AJ54" s="20"/>
      <c r="AK54" s="20"/>
    </row>
    <row r="55">
      <c r="A55" s="54"/>
      <c r="B55" s="54"/>
      <c r="C55" s="32"/>
      <c r="D55" s="32"/>
      <c r="E55" s="70"/>
      <c r="F55" s="70"/>
      <c r="G55" s="70"/>
      <c r="H55" s="70"/>
      <c r="I55" s="70"/>
      <c r="J55" s="70"/>
      <c r="K55" s="70"/>
      <c r="L55" s="70"/>
      <c r="M55" s="32"/>
      <c r="N55" s="71"/>
      <c r="O55" s="32"/>
      <c r="P55" s="32"/>
      <c r="Q55" s="32"/>
      <c r="R55" s="32"/>
      <c r="S55" s="32"/>
      <c r="T55" s="32"/>
      <c r="U55" s="32"/>
      <c r="V55" s="32"/>
      <c r="W55" s="32"/>
      <c r="X55" s="32"/>
      <c r="Y55" s="32"/>
      <c r="Z55" s="32"/>
      <c r="AA55" s="32"/>
      <c r="AB55" s="32"/>
      <c r="AC55" s="32"/>
      <c r="AD55" s="32"/>
      <c r="AE55" s="32"/>
      <c r="AF55" s="32"/>
      <c r="AG55" s="33"/>
      <c r="AH55" s="32"/>
      <c r="AI55" s="32"/>
      <c r="AJ55" s="61"/>
      <c r="AK55" s="54"/>
    </row>
    <row r="56">
      <c r="A56" s="3"/>
      <c r="B56" s="3"/>
      <c r="E56" s="17"/>
      <c r="F56" s="17"/>
      <c r="G56" s="17"/>
      <c r="H56" s="17"/>
      <c r="I56" s="17"/>
      <c r="J56" s="17"/>
      <c r="K56" s="17"/>
      <c r="L56" s="17"/>
      <c r="N56" s="8"/>
      <c r="AG56" s="15"/>
      <c r="AJ56" s="16"/>
      <c r="AK56" s="3"/>
    </row>
    <row r="57">
      <c r="A57" s="3"/>
      <c r="B57" s="3"/>
      <c r="E57" s="17"/>
      <c r="F57" s="17"/>
      <c r="G57" s="17"/>
      <c r="H57" s="17"/>
      <c r="I57" s="17"/>
      <c r="J57" s="17"/>
      <c r="K57" s="17"/>
      <c r="L57" s="17"/>
      <c r="N57" s="8"/>
      <c r="AG57" s="15"/>
      <c r="AJ57" s="16"/>
      <c r="AK57" s="3"/>
    </row>
    <row r="58">
      <c r="A58" s="3"/>
      <c r="B58" s="3"/>
      <c r="E58" s="17"/>
      <c r="F58" s="17"/>
      <c r="G58" s="17"/>
      <c r="H58" s="17"/>
      <c r="I58" s="17"/>
      <c r="J58" s="17"/>
      <c r="K58" s="17"/>
      <c r="L58" s="17"/>
      <c r="N58" s="8"/>
      <c r="AG58" s="15"/>
      <c r="AJ58" s="16"/>
      <c r="AK58" s="3"/>
    </row>
    <row r="59">
      <c r="A59" s="3"/>
      <c r="B59" s="3"/>
      <c r="E59" s="17"/>
      <c r="F59" s="17"/>
      <c r="G59" s="17"/>
      <c r="H59" s="17"/>
      <c r="I59" s="17"/>
      <c r="J59" s="17"/>
      <c r="K59" s="17"/>
      <c r="L59" s="17"/>
      <c r="N59" s="8"/>
      <c r="AG59" s="15"/>
      <c r="AJ59" s="16"/>
      <c r="AK59" s="3"/>
    </row>
    <row r="60">
      <c r="A60" s="3"/>
      <c r="B60" s="3"/>
      <c r="E60" s="17"/>
      <c r="F60" s="17"/>
      <c r="G60" s="17"/>
      <c r="H60" s="17"/>
      <c r="I60" s="17"/>
      <c r="J60" s="17"/>
      <c r="K60" s="17"/>
      <c r="L60" s="17"/>
      <c r="N60" s="8"/>
      <c r="AG60" s="15"/>
      <c r="AJ60" s="16"/>
      <c r="AK60" s="3"/>
    </row>
    <row r="61">
      <c r="A61" s="3"/>
      <c r="B61" s="3"/>
      <c r="E61" s="17"/>
      <c r="F61" s="17"/>
      <c r="G61" s="17"/>
      <c r="H61" s="17"/>
      <c r="I61" s="17"/>
      <c r="J61" s="17"/>
      <c r="K61" s="17"/>
      <c r="L61" s="17"/>
      <c r="N61" s="8"/>
      <c r="AG61" s="15"/>
      <c r="AJ61" s="16"/>
      <c r="AK61" s="3"/>
    </row>
    <row r="62">
      <c r="A62" s="3"/>
      <c r="B62" s="3"/>
      <c r="E62" s="17"/>
      <c r="F62" s="17"/>
      <c r="G62" s="17"/>
      <c r="H62" s="17"/>
      <c r="I62" s="17"/>
      <c r="J62" s="17"/>
      <c r="K62" s="17"/>
      <c r="L62" s="17"/>
      <c r="N62" s="8"/>
      <c r="AG62" s="15"/>
      <c r="AJ62" s="16"/>
      <c r="AK62" s="3"/>
    </row>
    <row r="63">
      <c r="A63" s="3"/>
      <c r="B63" s="3"/>
      <c r="E63" s="17"/>
      <c r="F63" s="17"/>
      <c r="G63" s="17"/>
      <c r="H63" s="17"/>
      <c r="I63" s="17"/>
      <c r="J63" s="17"/>
      <c r="K63" s="17"/>
      <c r="L63" s="17"/>
      <c r="N63" s="8"/>
      <c r="AG63" s="15"/>
      <c r="AJ63" s="16"/>
      <c r="AK63" s="3"/>
    </row>
    <row r="64">
      <c r="A64" s="3"/>
      <c r="B64" s="3"/>
      <c r="E64" s="17"/>
      <c r="F64" s="17"/>
      <c r="G64" s="17"/>
      <c r="H64" s="17"/>
      <c r="I64" s="17"/>
      <c r="J64" s="17"/>
      <c r="K64" s="17"/>
      <c r="L64" s="17"/>
      <c r="N64" s="8"/>
      <c r="AG64" s="15"/>
      <c r="AJ64" s="16"/>
      <c r="AK64" s="3"/>
    </row>
    <row r="65">
      <c r="A65" s="3"/>
      <c r="B65" s="3"/>
      <c r="E65" s="17"/>
      <c r="F65" s="17"/>
      <c r="G65" s="17"/>
      <c r="H65" s="17"/>
      <c r="I65" s="17"/>
      <c r="J65" s="17"/>
      <c r="K65" s="17"/>
      <c r="L65" s="17"/>
      <c r="N65" s="8"/>
      <c r="AG65" s="15"/>
      <c r="AJ65" s="16"/>
      <c r="AK65" s="3"/>
    </row>
    <row r="66">
      <c r="A66" s="3"/>
      <c r="B66" s="3"/>
      <c r="E66" s="17"/>
      <c r="F66" s="17"/>
      <c r="G66" s="17"/>
      <c r="H66" s="17"/>
      <c r="I66" s="17"/>
      <c r="J66" s="17"/>
      <c r="K66" s="17"/>
      <c r="L66" s="17"/>
      <c r="N66" s="8"/>
      <c r="AG66" s="15"/>
      <c r="AJ66" s="16"/>
      <c r="AK66" s="3"/>
    </row>
    <row r="67">
      <c r="A67" s="3"/>
      <c r="B67" s="3"/>
      <c r="E67" s="17"/>
      <c r="F67" s="17"/>
      <c r="G67" s="17"/>
      <c r="H67" s="17"/>
      <c r="I67" s="17"/>
      <c r="J67" s="17"/>
      <c r="K67" s="17"/>
      <c r="L67" s="17"/>
      <c r="N67" s="8"/>
      <c r="AG67" s="15"/>
      <c r="AJ67" s="16"/>
      <c r="AK67" s="3"/>
    </row>
    <row r="68">
      <c r="A68" s="3"/>
      <c r="B68" s="3"/>
      <c r="E68" s="17"/>
      <c r="F68" s="17"/>
      <c r="G68" s="17"/>
      <c r="H68" s="17"/>
      <c r="I68" s="17"/>
      <c r="J68" s="17"/>
      <c r="K68" s="17"/>
      <c r="L68" s="17"/>
      <c r="N68" s="8"/>
      <c r="AG68" s="15"/>
      <c r="AJ68" s="16"/>
      <c r="AK68" s="3"/>
    </row>
    <row r="69">
      <c r="A69" s="3"/>
      <c r="B69" s="3"/>
      <c r="E69" s="17"/>
      <c r="F69" s="17"/>
      <c r="G69" s="17"/>
      <c r="H69" s="17"/>
      <c r="I69" s="17"/>
      <c r="J69" s="17"/>
      <c r="K69" s="17"/>
      <c r="L69" s="17"/>
      <c r="N69" s="8"/>
      <c r="AG69" s="15"/>
      <c r="AJ69" s="16"/>
      <c r="AK69" s="3"/>
    </row>
    <row r="70">
      <c r="A70" s="3"/>
      <c r="B70" s="3"/>
      <c r="E70" s="17"/>
      <c r="F70" s="17"/>
      <c r="G70" s="17"/>
      <c r="H70" s="17"/>
      <c r="I70" s="17"/>
      <c r="J70" s="17"/>
      <c r="K70" s="17"/>
      <c r="L70" s="17"/>
      <c r="N70" s="8"/>
      <c r="AG70" s="15"/>
      <c r="AJ70" s="16"/>
      <c r="AK70" s="3"/>
    </row>
    <row r="71">
      <c r="A71" s="3"/>
      <c r="B71" s="3"/>
      <c r="E71" s="17"/>
      <c r="F71" s="17"/>
      <c r="G71" s="17"/>
      <c r="H71" s="17"/>
      <c r="I71" s="17"/>
      <c r="J71" s="17"/>
      <c r="K71" s="17"/>
      <c r="L71" s="17"/>
      <c r="N71" s="8"/>
      <c r="AG71" s="15"/>
      <c r="AJ71" s="16"/>
      <c r="AK71" s="3"/>
    </row>
    <row r="72">
      <c r="A72" s="3"/>
      <c r="B72" s="3"/>
      <c r="E72" s="17"/>
      <c r="F72" s="17"/>
      <c r="G72" s="17"/>
      <c r="H72" s="17"/>
      <c r="I72" s="17"/>
      <c r="J72" s="17"/>
      <c r="K72" s="17"/>
      <c r="L72" s="17"/>
      <c r="N72" s="8"/>
      <c r="AG72" s="15"/>
      <c r="AJ72" s="16"/>
      <c r="AK72" s="3"/>
    </row>
    <row r="73">
      <c r="A73" s="3"/>
      <c r="B73" s="3"/>
      <c r="E73" s="17"/>
      <c r="F73" s="17"/>
      <c r="G73" s="17"/>
      <c r="H73" s="17"/>
      <c r="I73" s="17"/>
      <c r="J73" s="17"/>
      <c r="K73" s="17"/>
      <c r="L73" s="17"/>
      <c r="N73" s="8"/>
      <c r="AG73" s="15"/>
      <c r="AJ73" s="16"/>
      <c r="AK73" s="3"/>
    </row>
    <row r="74">
      <c r="A74" s="3"/>
      <c r="B74" s="3"/>
      <c r="E74" s="17"/>
      <c r="F74" s="17"/>
      <c r="G74" s="17"/>
      <c r="H74" s="17"/>
      <c r="I74" s="17"/>
      <c r="J74" s="17"/>
      <c r="K74" s="17"/>
      <c r="L74" s="17"/>
      <c r="N74" s="8"/>
      <c r="AG74" s="15"/>
      <c r="AJ74" s="16"/>
      <c r="AK74" s="3"/>
    </row>
    <row r="75">
      <c r="A75" s="3"/>
      <c r="B75" s="3"/>
      <c r="E75" s="17"/>
      <c r="F75" s="17"/>
      <c r="G75" s="17"/>
      <c r="H75" s="17"/>
      <c r="I75" s="17"/>
      <c r="J75" s="17"/>
      <c r="K75" s="17"/>
      <c r="L75" s="17"/>
      <c r="N75" s="8"/>
      <c r="AG75" s="15"/>
      <c r="AJ75" s="16"/>
      <c r="AK75" s="3"/>
    </row>
    <row r="76">
      <c r="A76" s="3"/>
      <c r="B76" s="3"/>
      <c r="E76" s="17"/>
      <c r="F76" s="17"/>
      <c r="G76" s="17"/>
      <c r="H76" s="17"/>
      <c r="I76" s="17"/>
      <c r="J76" s="17"/>
      <c r="K76" s="17"/>
      <c r="L76" s="17"/>
      <c r="N76" s="8"/>
      <c r="AG76" s="15"/>
      <c r="AJ76" s="16"/>
      <c r="AK76" s="3"/>
    </row>
    <row r="77">
      <c r="A77" s="3"/>
      <c r="B77" s="3"/>
      <c r="E77" s="17"/>
      <c r="F77" s="17"/>
      <c r="G77" s="17"/>
      <c r="H77" s="17"/>
      <c r="I77" s="17"/>
      <c r="J77" s="17"/>
      <c r="K77" s="17"/>
      <c r="L77" s="17"/>
      <c r="N77" s="8"/>
      <c r="AG77" s="15"/>
      <c r="AJ77" s="16"/>
      <c r="AK77" s="3"/>
    </row>
    <row r="78">
      <c r="A78" s="3"/>
      <c r="B78" s="3"/>
      <c r="E78" s="17"/>
      <c r="F78" s="17"/>
      <c r="G78" s="17"/>
      <c r="H78" s="17"/>
      <c r="I78" s="17"/>
      <c r="J78" s="17"/>
      <c r="K78" s="17"/>
      <c r="L78" s="17"/>
      <c r="N78" s="8"/>
      <c r="AG78" s="15"/>
      <c r="AJ78" s="16"/>
      <c r="AK78" s="3"/>
    </row>
    <row r="79">
      <c r="A79" s="3"/>
      <c r="B79" s="3"/>
      <c r="E79" s="17"/>
      <c r="F79" s="17"/>
      <c r="G79" s="17"/>
      <c r="H79" s="17"/>
      <c r="I79" s="17"/>
      <c r="J79" s="17"/>
      <c r="K79" s="17"/>
      <c r="L79" s="17"/>
      <c r="N79" s="8"/>
      <c r="AG79" s="15"/>
      <c r="AJ79" s="16"/>
      <c r="AK79" s="3"/>
    </row>
    <row r="80">
      <c r="A80" s="3"/>
      <c r="B80" s="3"/>
      <c r="E80" s="17"/>
      <c r="F80" s="17"/>
      <c r="G80" s="17"/>
      <c r="H80" s="17"/>
      <c r="I80" s="17"/>
      <c r="J80" s="17"/>
      <c r="K80" s="17"/>
      <c r="L80" s="17"/>
      <c r="N80" s="8"/>
      <c r="AG80" s="15"/>
      <c r="AJ80" s="16"/>
      <c r="AK80" s="3"/>
    </row>
    <row r="81">
      <c r="A81" s="3"/>
      <c r="B81" s="3"/>
      <c r="E81" s="17"/>
      <c r="F81" s="17"/>
      <c r="G81" s="17"/>
      <c r="H81" s="17"/>
      <c r="I81" s="17"/>
      <c r="J81" s="17"/>
      <c r="K81" s="17"/>
      <c r="L81" s="17"/>
      <c r="N81" s="8"/>
      <c r="AG81" s="15"/>
      <c r="AJ81" s="16"/>
      <c r="AK81" s="3"/>
    </row>
    <row r="82">
      <c r="A82" s="3"/>
      <c r="B82" s="3"/>
      <c r="E82" s="17"/>
      <c r="F82" s="17"/>
      <c r="G82" s="17"/>
      <c r="H82" s="17"/>
      <c r="I82" s="17"/>
      <c r="J82" s="17"/>
      <c r="K82" s="17"/>
      <c r="L82" s="17"/>
      <c r="N82" s="8"/>
      <c r="AG82" s="15"/>
      <c r="AJ82" s="16"/>
      <c r="AK82" s="3"/>
    </row>
    <row r="83">
      <c r="A83" s="3"/>
      <c r="B83" s="3"/>
      <c r="E83" s="17"/>
      <c r="F83" s="17"/>
      <c r="G83" s="17"/>
      <c r="H83" s="17"/>
      <c r="I83" s="17"/>
      <c r="J83" s="17"/>
      <c r="K83" s="17"/>
      <c r="L83" s="17"/>
      <c r="N83" s="8"/>
      <c r="AG83" s="15"/>
      <c r="AJ83" s="16"/>
      <c r="AK83" s="3"/>
    </row>
    <row r="84">
      <c r="A84" s="3"/>
      <c r="B84" s="3"/>
      <c r="E84" s="17"/>
      <c r="F84" s="17"/>
      <c r="G84" s="17"/>
      <c r="H84" s="17"/>
      <c r="I84" s="17"/>
      <c r="J84" s="17"/>
      <c r="K84" s="17"/>
      <c r="L84" s="17"/>
      <c r="N84" s="8"/>
      <c r="AG84" s="15"/>
      <c r="AJ84" s="16"/>
      <c r="AK84" s="3"/>
    </row>
    <row r="85">
      <c r="A85" s="3"/>
      <c r="B85" s="3"/>
      <c r="E85" s="17"/>
      <c r="F85" s="17"/>
      <c r="G85" s="17"/>
      <c r="H85" s="17"/>
      <c r="I85" s="17"/>
      <c r="J85" s="17"/>
      <c r="K85" s="17"/>
      <c r="L85" s="17"/>
      <c r="N85" s="8"/>
      <c r="AG85" s="15"/>
      <c r="AJ85" s="16"/>
      <c r="AK85" s="3"/>
    </row>
    <row r="86">
      <c r="A86" s="3"/>
      <c r="B86" s="3"/>
      <c r="E86" s="17"/>
      <c r="F86" s="17"/>
      <c r="G86" s="17"/>
      <c r="H86" s="17"/>
      <c r="I86" s="17"/>
      <c r="J86" s="17"/>
      <c r="K86" s="17"/>
      <c r="L86" s="17"/>
      <c r="N86" s="8"/>
      <c r="AG86" s="15"/>
      <c r="AJ86" s="16"/>
      <c r="AK86" s="3"/>
    </row>
    <row r="87">
      <c r="A87" s="3"/>
      <c r="B87" s="3"/>
      <c r="E87" s="17"/>
      <c r="F87" s="17"/>
      <c r="G87" s="17"/>
      <c r="H87" s="17"/>
      <c r="I87" s="17"/>
      <c r="J87" s="17"/>
      <c r="K87" s="17"/>
      <c r="L87" s="17"/>
      <c r="N87" s="8"/>
      <c r="AG87" s="15"/>
      <c r="AJ87" s="16"/>
      <c r="AK87" s="3"/>
    </row>
    <row r="88">
      <c r="A88" s="3"/>
      <c r="B88" s="3"/>
      <c r="E88" s="17"/>
      <c r="F88" s="17"/>
      <c r="G88" s="17"/>
      <c r="H88" s="17"/>
      <c r="I88" s="17"/>
      <c r="J88" s="17"/>
      <c r="K88" s="17"/>
      <c r="L88" s="17"/>
      <c r="N88" s="8"/>
      <c r="AG88" s="15"/>
      <c r="AJ88" s="16"/>
      <c r="AK88" s="3"/>
    </row>
    <row r="89">
      <c r="A89" s="3"/>
      <c r="B89" s="3"/>
      <c r="E89" s="17"/>
      <c r="F89" s="17"/>
      <c r="G89" s="17"/>
      <c r="H89" s="17"/>
      <c r="I89" s="17"/>
      <c r="J89" s="17"/>
      <c r="K89" s="17"/>
      <c r="L89" s="17"/>
      <c r="N89" s="8"/>
      <c r="AG89" s="15"/>
      <c r="AJ89" s="16"/>
      <c r="AK89" s="3"/>
    </row>
    <row r="90">
      <c r="A90" s="3"/>
      <c r="B90" s="3"/>
      <c r="E90" s="17"/>
      <c r="F90" s="17"/>
      <c r="G90" s="17"/>
      <c r="H90" s="17"/>
      <c r="I90" s="17"/>
      <c r="J90" s="17"/>
      <c r="K90" s="17"/>
      <c r="L90" s="17"/>
      <c r="N90" s="8"/>
      <c r="AG90" s="15"/>
      <c r="AJ90" s="16"/>
      <c r="AK90" s="3"/>
    </row>
    <row r="91">
      <c r="A91" s="3"/>
      <c r="B91" s="3"/>
      <c r="E91" s="17"/>
      <c r="F91" s="17"/>
      <c r="G91" s="17"/>
      <c r="H91" s="17"/>
      <c r="I91" s="17"/>
      <c r="J91" s="17"/>
      <c r="K91" s="17"/>
      <c r="L91" s="17"/>
      <c r="N91" s="8"/>
      <c r="AG91" s="15"/>
      <c r="AJ91" s="16"/>
      <c r="AK91" s="3"/>
    </row>
    <row r="92">
      <c r="A92" s="3"/>
      <c r="B92" s="3"/>
      <c r="E92" s="17"/>
      <c r="F92" s="17"/>
      <c r="G92" s="17"/>
      <c r="H92" s="17"/>
      <c r="I92" s="17"/>
      <c r="J92" s="17"/>
      <c r="K92" s="17"/>
      <c r="L92" s="17"/>
      <c r="N92" s="8"/>
      <c r="AG92" s="15"/>
      <c r="AJ92" s="16"/>
      <c r="AK92" s="3"/>
    </row>
    <row r="93">
      <c r="A93" s="3"/>
      <c r="B93" s="3"/>
      <c r="E93" s="17"/>
      <c r="F93" s="17"/>
      <c r="G93" s="17"/>
      <c r="H93" s="17"/>
      <c r="I93" s="17"/>
      <c r="J93" s="17"/>
      <c r="K93" s="17"/>
      <c r="L93" s="17"/>
      <c r="N93" s="8"/>
      <c r="AG93" s="15"/>
      <c r="AJ93" s="16"/>
      <c r="AK93" s="3"/>
    </row>
    <row r="94">
      <c r="A94" s="3"/>
      <c r="B94" s="3"/>
      <c r="E94" s="17"/>
      <c r="F94" s="17"/>
      <c r="G94" s="17"/>
      <c r="H94" s="17"/>
      <c r="I94" s="17"/>
      <c r="J94" s="17"/>
      <c r="K94" s="17"/>
      <c r="L94" s="17"/>
      <c r="N94" s="8"/>
      <c r="AG94" s="15"/>
      <c r="AJ94" s="16"/>
      <c r="AK94" s="3"/>
    </row>
    <row r="95">
      <c r="A95" s="3"/>
      <c r="B95" s="3"/>
      <c r="E95" s="17"/>
      <c r="F95" s="17"/>
      <c r="G95" s="17"/>
      <c r="H95" s="17"/>
      <c r="I95" s="17"/>
      <c r="J95" s="17"/>
      <c r="K95" s="17"/>
      <c r="L95" s="17"/>
      <c r="N95" s="8"/>
      <c r="AG95" s="15"/>
      <c r="AJ95" s="16"/>
      <c r="AK95" s="3"/>
    </row>
    <row r="96">
      <c r="A96" s="3"/>
      <c r="B96" s="3"/>
      <c r="E96" s="17"/>
      <c r="F96" s="17"/>
      <c r="G96" s="17"/>
      <c r="H96" s="17"/>
      <c r="I96" s="17"/>
      <c r="J96" s="17"/>
      <c r="K96" s="17"/>
      <c r="L96" s="17"/>
      <c r="N96" s="8"/>
      <c r="AG96" s="15"/>
      <c r="AJ96" s="16"/>
      <c r="AK96" s="3"/>
    </row>
    <row r="97">
      <c r="A97" s="3"/>
      <c r="B97" s="3"/>
      <c r="E97" s="17"/>
      <c r="F97" s="17"/>
      <c r="G97" s="17"/>
      <c r="H97" s="17"/>
      <c r="I97" s="17"/>
      <c r="J97" s="17"/>
      <c r="K97" s="17"/>
      <c r="L97" s="17"/>
      <c r="N97" s="8"/>
      <c r="AG97" s="15"/>
      <c r="AJ97" s="16"/>
      <c r="AK97" s="3"/>
    </row>
    <row r="98">
      <c r="A98" s="3"/>
      <c r="B98" s="3"/>
      <c r="E98" s="17"/>
      <c r="F98" s="17"/>
      <c r="G98" s="17"/>
      <c r="H98" s="17"/>
      <c r="I98" s="17"/>
      <c r="J98" s="17"/>
      <c r="K98" s="17"/>
      <c r="L98" s="17"/>
      <c r="N98" s="8"/>
      <c r="AG98" s="15"/>
      <c r="AJ98" s="16"/>
      <c r="AK98" s="3"/>
    </row>
    <row r="99">
      <c r="A99" s="3"/>
      <c r="B99" s="3"/>
      <c r="E99" s="17"/>
      <c r="F99" s="17"/>
      <c r="G99" s="17"/>
      <c r="H99" s="17"/>
      <c r="I99" s="17"/>
      <c r="J99" s="17"/>
      <c r="K99" s="17"/>
      <c r="L99" s="17"/>
      <c r="N99" s="8"/>
      <c r="AG99" s="15"/>
      <c r="AJ99" s="16"/>
      <c r="AK99" s="3"/>
    </row>
    <row r="100">
      <c r="A100" s="3"/>
      <c r="B100" s="3"/>
      <c r="E100" s="17"/>
      <c r="F100" s="17"/>
      <c r="G100" s="17"/>
      <c r="H100" s="17"/>
      <c r="I100" s="17"/>
      <c r="J100" s="17"/>
      <c r="K100" s="17"/>
      <c r="L100" s="17"/>
      <c r="N100" s="8"/>
      <c r="AG100" s="15"/>
      <c r="AJ100" s="16"/>
      <c r="AK100" s="3"/>
    </row>
    <row r="101">
      <c r="A101" s="3"/>
      <c r="B101" s="3"/>
      <c r="E101" s="17"/>
      <c r="F101" s="17"/>
      <c r="G101" s="17"/>
      <c r="H101" s="17"/>
      <c r="I101" s="17"/>
      <c r="J101" s="17"/>
      <c r="K101" s="17"/>
      <c r="L101" s="17"/>
      <c r="N101" s="8"/>
      <c r="AG101" s="15"/>
      <c r="AJ101" s="16"/>
      <c r="AK101" s="3"/>
    </row>
    <row r="102">
      <c r="A102" s="3"/>
      <c r="B102" s="3"/>
      <c r="E102" s="17"/>
      <c r="F102" s="17"/>
      <c r="G102" s="17"/>
      <c r="H102" s="17"/>
      <c r="I102" s="17"/>
      <c r="J102" s="17"/>
      <c r="K102" s="17"/>
      <c r="L102" s="17"/>
      <c r="N102" s="8"/>
      <c r="AG102" s="15"/>
      <c r="AJ102" s="16"/>
      <c r="AK102" s="3"/>
    </row>
    <row r="103">
      <c r="A103" s="3"/>
      <c r="B103" s="3"/>
      <c r="E103" s="17"/>
      <c r="F103" s="17"/>
      <c r="G103" s="17"/>
      <c r="H103" s="17"/>
      <c r="I103" s="17"/>
      <c r="J103" s="17"/>
      <c r="K103" s="17"/>
      <c r="L103" s="17"/>
      <c r="N103" s="8"/>
      <c r="AG103" s="15"/>
      <c r="AJ103" s="16"/>
      <c r="AK103" s="3"/>
    </row>
    <row r="104">
      <c r="A104" s="3"/>
      <c r="B104" s="3"/>
      <c r="E104" s="17"/>
      <c r="F104" s="17"/>
      <c r="G104" s="17"/>
      <c r="H104" s="17"/>
      <c r="I104" s="17"/>
      <c r="J104" s="17"/>
      <c r="K104" s="17"/>
      <c r="L104" s="17"/>
      <c r="N104" s="8"/>
      <c r="AG104" s="15"/>
      <c r="AJ104" s="16"/>
      <c r="AK104" s="3"/>
    </row>
    <row r="105">
      <c r="A105" s="3"/>
      <c r="B105" s="3"/>
      <c r="E105" s="17"/>
      <c r="F105" s="17"/>
      <c r="G105" s="17"/>
      <c r="H105" s="17"/>
      <c r="I105" s="17"/>
      <c r="J105" s="17"/>
      <c r="K105" s="17"/>
      <c r="L105" s="17"/>
      <c r="N105" s="8"/>
      <c r="AG105" s="15"/>
      <c r="AJ105" s="16"/>
      <c r="AK105" s="3"/>
    </row>
    <row r="106">
      <c r="A106" s="3"/>
      <c r="B106" s="3"/>
      <c r="E106" s="17"/>
      <c r="F106" s="17"/>
      <c r="G106" s="17"/>
      <c r="H106" s="17"/>
      <c r="I106" s="17"/>
      <c r="J106" s="17"/>
      <c r="K106" s="17"/>
      <c r="L106" s="17"/>
      <c r="N106" s="8"/>
      <c r="AG106" s="15"/>
      <c r="AJ106" s="16"/>
      <c r="AK106" s="3"/>
    </row>
    <row r="107">
      <c r="A107" s="3"/>
      <c r="B107" s="3"/>
      <c r="E107" s="17"/>
      <c r="F107" s="17"/>
      <c r="G107" s="17"/>
      <c r="H107" s="17"/>
      <c r="I107" s="17"/>
      <c r="J107" s="17"/>
      <c r="K107" s="17"/>
      <c r="L107" s="17"/>
      <c r="N107" s="8"/>
      <c r="AG107" s="15"/>
      <c r="AJ107" s="16"/>
      <c r="AK107" s="3"/>
    </row>
    <row r="108">
      <c r="A108" s="3"/>
      <c r="B108" s="3"/>
      <c r="E108" s="17"/>
      <c r="F108" s="17"/>
      <c r="G108" s="17"/>
      <c r="H108" s="17"/>
      <c r="I108" s="17"/>
      <c r="J108" s="17"/>
      <c r="K108" s="17"/>
      <c r="L108" s="17"/>
      <c r="N108" s="8"/>
      <c r="AG108" s="15"/>
      <c r="AJ108" s="16"/>
      <c r="AK108" s="3"/>
    </row>
    <row r="109">
      <c r="A109" s="3"/>
      <c r="B109" s="3"/>
      <c r="E109" s="17"/>
      <c r="F109" s="17"/>
      <c r="G109" s="17"/>
      <c r="H109" s="17"/>
      <c r="I109" s="17"/>
      <c r="J109" s="17"/>
      <c r="K109" s="17"/>
      <c r="L109" s="17"/>
      <c r="N109" s="8"/>
      <c r="AG109" s="15"/>
      <c r="AJ109" s="16"/>
      <c r="AK109" s="3"/>
    </row>
    <row r="110">
      <c r="A110" s="3"/>
      <c r="B110" s="3"/>
      <c r="E110" s="17"/>
      <c r="F110" s="17"/>
      <c r="G110" s="17"/>
      <c r="H110" s="17"/>
      <c r="I110" s="17"/>
      <c r="J110" s="17"/>
      <c r="K110" s="17"/>
      <c r="L110" s="17"/>
      <c r="N110" s="8"/>
      <c r="AG110" s="15"/>
      <c r="AJ110" s="16"/>
      <c r="AK110" s="3"/>
    </row>
  </sheetData>
  <mergeCells count="54">
    <mergeCell ref="AG43:AG45"/>
    <mergeCell ref="AG40:AG42"/>
    <mergeCell ref="AG46:AG48"/>
    <mergeCell ref="AG49:AG51"/>
    <mergeCell ref="AG52:AG54"/>
    <mergeCell ref="AH52:AH54"/>
    <mergeCell ref="AH49:AH51"/>
    <mergeCell ref="AH46:AH48"/>
    <mergeCell ref="AH43:AH45"/>
    <mergeCell ref="AH40:AH42"/>
    <mergeCell ref="AK16:AK18"/>
    <mergeCell ref="AK13:AK15"/>
    <mergeCell ref="AK22:AK24"/>
    <mergeCell ref="AK19:AK21"/>
    <mergeCell ref="AK25:AK27"/>
    <mergeCell ref="AJ28:AJ30"/>
    <mergeCell ref="AJ25:AJ27"/>
    <mergeCell ref="AJ22:AJ24"/>
    <mergeCell ref="AJ19:AJ21"/>
    <mergeCell ref="AH19:AH21"/>
    <mergeCell ref="AH16:AH18"/>
    <mergeCell ref="AG16:AG18"/>
    <mergeCell ref="AG13:AG15"/>
    <mergeCell ref="AG22:AG24"/>
    <mergeCell ref="AG25:AG27"/>
    <mergeCell ref="AG19:AG21"/>
    <mergeCell ref="AJ46:AJ48"/>
    <mergeCell ref="AJ49:AJ51"/>
    <mergeCell ref="AJ52:AJ54"/>
    <mergeCell ref="AK49:AK51"/>
    <mergeCell ref="AK52:AK54"/>
    <mergeCell ref="AK46:AK48"/>
    <mergeCell ref="AJ40:AJ42"/>
    <mergeCell ref="AK40:AK42"/>
    <mergeCell ref="AK43:AK45"/>
    <mergeCell ref="AJ43:AJ45"/>
    <mergeCell ref="AK37:AK39"/>
    <mergeCell ref="AJ37:AJ39"/>
    <mergeCell ref="AK34:AK36"/>
    <mergeCell ref="AJ34:AJ36"/>
    <mergeCell ref="AK31:AK33"/>
    <mergeCell ref="AK28:AK30"/>
    <mergeCell ref="AJ31:AJ33"/>
    <mergeCell ref="AG34:AG36"/>
    <mergeCell ref="AG37:AG39"/>
    <mergeCell ref="AG28:AG30"/>
    <mergeCell ref="AG31:AG33"/>
    <mergeCell ref="AH34:AH36"/>
    <mergeCell ref="AH37:AH39"/>
    <mergeCell ref="AH31:AH33"/>
    <mergeCell ref="AH28:AH30"/>
    <mergeCell ref="AH25:AH27"/>
    <mergeCell ref="AH22:AH24"/>
    <mergeCell ref="AH13:AH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6.0" ySplit="12.0" topLeftCell="G13" activePane="bottomRight" state="frozen"/>
      <selection activeCell="G1" sqref="G1" pane="topRight"/>
      <selection activeCell="A13" sqref="A13" pane="bottomLeft"/>
      <selection activeCell="G13" sqref="G13" pane="bottomRight"/>
    </sheetView>
  </sheetViews>
  <sheetFormatPr customHeight="1" defaultColWidth="14.43" defaultRowHeight="12.75"/>
  <cols>
    <col customWidth="1" min="1" max="1" width="2.0"/>
    <col customWidth="1" min="2" max="2" width="2.29"/>
    <col customWidth="1" min="3" max="3" width="3.14"/>
    <col customWidth="1" min="4" max="4" width="17.29"/>
    <col customWidth="1" min="5" max="5" width="3.14"/>
    <col customWidth="1" min="6" max="6" width="7.14"/>
    <col customWidth="1" min="7" max="7" width="2.86"/>
    <col customWidth="1" min="8" max="8" width="3.43"/>
    <col customWidth="1" min="9" max="9" width="3.29"/>
    <col customWidth="1" min="10" max="10" width="2.71"/>
    <col customWidth="1" min="11" max="11" width="3.43"/>
    <col customWidth="1" min="12" max="12" width="5.0"/>
    <col customWidth="1" min="13" max="13" width="4.14"/>
    <col customWidth="1" min="14" max="14" width="7.43"/>
    <col customWidth="1" min="15" max="15" width="8.86"/>
    <col customWidth="1" min="16" max="16" width="11.14"/>
    <col customWidth="1" min="17" max="17" width="3.57"/>
    <col customWidth="1" min="18" max="19" width="2.71"/>
    <col customWidth="1" min="20" max="20" width="3.43"/>
    <col customWidth="1" min="21" max="28" width="3.14"/>
    <col customWidth="1" min="29" max="29" width="5.0"/>
    <col customWidth="1" min="30" max="30" width="10.71"/>
    <col customWidth="1" min="31" max="31" width="15.71"/>
    <col customWidth="1" min="32" max="32" width="5.29"/>
    <col customWidth="1" min="33" max="33" width="26.14"/>
    <col customWidth="1" min="34" max="34" width="28.0"/>
  </cols>
  <sheetData>
    <row r="1">
      <c r="A1" s="3"/>
      <c r="B1" s="5">
        <v>35.0</v>
      </c>
      <c r="C1" s="10">
        <f t="array" ref="C1">INDEX('Import git'!A$2:C$38,$B1,1)</f>
        <v>33</v>
      </c>
      <c r="D1" s="10" t="str">
        <f t="array" ref="D1">INDEX('Import git'!D$2:D$38,$B1)</f>
        <v>Lothar le guerrier</v>
      </c>
      <c r="E1" s="13" t="str">
        <f t="array" ref="E1">INDEX('Import git'!F$2:F$38,$B1)</f>
        <v>X</v>
      </c>
      <c r="F1" s="13" t="str">
        <f t="array" ref="F1">INDEX('Import git'!G$2:G$38,$B1)</f>
        <v/>
      </c>
      <c r="G1" s="13">
        <f t="array" ref="G1">INDEX('Import git'!H$2:H$38,$B1)</f>
        <v>2</v>
      </c>
      <c r="H1" s="13" t="str">
        <f t="array" ref="H1">INDEX('Import git'!I$2:I$38,$B1)</f>
        <v/>
      </c>
      <c r="I1" s="13">
        <f t="array" ref="I1">INDEX('Import git'!J$2:J$38,$B1)</f>
        <v>0</v>
      </c>
      <c r="J1" s="13">
        <f t="array" ref="J1">INDEX('Import git'!K$2:K$38,$B1)</f>
        <v>10</v>
      </c>
      <c r="K1" s="13">
        <f t="array" ref="K1">INDEX('Import git'!L$2:L$38,$B1)</f>
        <v>0</v>
      </c>
      <c r="L1" s="13" t="str">
        <f t="array" ref="L1">INDEX('Import git'!M$2:M$38,$B1)</f>
        <v/>
      </c>
      <c r="N1" s="8"/>
      <c r="AD1" s="15"/>
      <c r="AG1" s="16"/>
      <c r="AH1" s="3"/>
    </row>
    <row r="2">
      <c r="A2" s="3"/>
      <c r="B2" s="3"/>
      <c r="E2" s="17"/>
      <c r="F2" s="17"/>
      <c r="G2" s="17"/>
      <c r="H2" s="17"/>
      <c r="I2" s="17"/>
      <c r="J2" s="17"/>
      <c r="K2" s="17"/>
      <c r="L2" s="17"/>
      <c r="N2" s="8"/>
      <c r="P2" s="7" t="s">
        <v>50</v>
      </c>
      <c r="Q2" s="9">
        <v>-2.0</v>
      </c>
      <c r="R2" s="9">
        <v>-1.0</v>
      </c>
      <c r="S2" s="9">
        <v>-1.0</v>
      </c>
      <c r="U2" s="9">
        <v>1.0</v>
      </c>
      <c r="V2" s="9">
        <v>0.0</v>
      </c>
      <c r="W2" s="9">
        <v>2.0</v>
      </c>
      <c r="X2" s="9">
        <v>2.0</v>
      </c>
      <c r="Y2" s="9">
        <v>0.0</v>
      </c>
      <c r="Z2" s="9">
        <v>1.0</v>
      </c>
      <c r="AA2" s="9">
        <v>2.0</v>
      </c>
      <c r="AB2" s="9">
        <v>3.0</v>
      </c>
      <c r="AD2" s="15"/>
      <c r="AG2" s="16"/>
      <c r="AH2" s="3"/>
    </row>
    <row r="3">
      <c r="A3" s="3"/>
      <c r="B3" s="3"/>
      <c r="E3" s="17"/>
      <c r="F3" s="17"/>
      <c r="G3" s="17"/>
      <c r="H3" s="17"/>
      <c r="I3" s="17"/>
      <c r="J3" s="17"/>
      <c r="K3" s="17"/>
      <c r="L3" s="17"/>
      <c r="N3" s="8"/>
      <c r="P3" s="7" t="s">
        <v>51</v>
      </c>
      <c r="Q3" s="9">
        <v>0.0</v>
      </c>
      <c r="R3" s="9">
        <v>0.0</v>
      </c>
      <c r="S3" s="9">
        <v>0.0</v>
      </c>
      <c r="U3" s="9">
        <v>0.0</v>
      </c>
      <c r="V3" s="9">
        <v>1.0</v>
      </c>
      <c r="W3" s="9">
        <v>0.0</v>
      </c>
      <c r="X3" s="9">
        <v>1.0</v>
      </c>
      <c r="Y3" s="9">
        <v>2.0</v>
      </c>
      <c r="Z3" s="9">
        <v>2.0</v>
      </c>
      <c r="AA3" s="9">
        <v>2.0</v>
      </c>
      <c r="AB3" s="9">
        <v>3.0</v>
      </c>
      <c r="AD3" s="15"/>
      <c r="AG3" s="16"/>
      <c r="AH3" s="3"/>
    </row>
    <row r="4">
      <c r="A4" s="3"/>
      <c r="B4" s="3"/>
      <c r="E4" s="17"/>
      <c r="F4" s="17"/>
      <c r="G4" s="17"/>
      <c r="H4" s="17"/>
      <c r="I4" s="17"/>
      <c r="J4" s="17"/>
      <c r="K4" s="17"/>
      <c r="L4" s="17"/>
      <c r="N4" s="8"/>
      <c r="P4" s="18" t="s">
        <v>52</v>
      </c>
      <c r="Q4" s="19">
        <v>-1.0</v>
      </c>
      <c r="R4" s="19">
        <v>-1.0</v>
      </c>
      <c r="S4" s="19">
        <v>0.0</v>
      </c>
      <c r="T4" s="20"/>
      <c r="U4" s="19">
        <v>1.0</v>
      </c>
      <c r="V4" s="21">
        <f>U4</f>
        <v>1</v>
      </c>
      <c r="W4" s="19">
        <v>2.0</v>
      </c>
      <c r="X4" s="21">
        <f t="shared" ref="X4:Z4" si="1">W4</f>
        <v>2</v>
      </c>
      <c r="Y4" s="21">
        <f t="shared" si="1"/>
        <v>2</v>
      </c>
      <c r="Z4" s="21">
        <f t="shared" si="1"/>
        <v>2</v>
      </c>
      <c r="AA4" s="19">
        <v>3.0</v>
      </c>
      <c r="AB4" s="19">
        <v>4.0</v>
      </c>
      <c r="AC4" s="20"/>
      <c r="AD4" s="22"/>
      <c r="AE4" s="20"/>
      <c r="AG4" s="16"/>
      <c r="AH4" s="3"/>
    </row>
    <row r="5">
      <c r="A5" s="3"/>
      <c r="B5" s="3"/>
      <c r="E5" s="17"/>
      <c r="F5" s="17"/>
      <c r="G5" s="17"/>
      <c r="H5" s="17"/>
      <c r="I5" s="17"/>
      <c r="J5" s="17"/>
      <c r="K5" s="17"/>
      <c r="L5" s="17"/>
      <c r="N5" s="8"/>
      <c r="O5" s="23"/>
      <c r="P5" s="24" t="s">
        <v>53</v>
      </c>
      <c r="Q5" s="25">
        <f t="shared" ref="Q5:S5" si="2">$T5+Q2</f>
        <v>0</v>
      </c>
      <c r="R5" s="25">
        <f t="shared" si="2"/>
        <v>1</v>
      </c>
      <c r="S5" s="25">
        <f t="shared" si="2"/>
        <v>1</v>
      </c>
      <c r="T5" s="27">
        <f>G1</f>
        <v>2</v>
      </c>
      <c r="U5" s="25">
        <f t="shared" ref="U5:AB5" si="3">$T5+U2</f>
        <v>3</v>
      </c>
      <c r="V5" s="25">
        <f t="shared" si="3"/>
        <v>2</v>
      </c>
      <c r="W5" s="25">
        <f t="shared" si="3"/>
        <v>4</v>
      </c>
      <c r="X5" s="25">
        <f t="shared" si="3"/>
        <v>4</v>
      </c>
      <c r="Y5" s="25">
        <f t="shared" si="3"/>
        <v>2</v>
      </c>
      <c r="Z5" s="25">
        <f t="shared" si="3"/>
        <v>3</v>
      </c>
      <c r="AA5" s="25">
        <f t="shared" si="3"/>
        <v>4</v>
      </c>
      <c r="AB5" s="25">
        <f t="shared" si="3"/>
        <v>5</v>
      </c>
      <c r="AC5" s="32"/>
      <c r="AD5" s="33"/>
      <c r="AE5" s="34"/>
      <c r="AF5" s="36"/>
      <c r="AG5" s="16"/>
      <c r="AH5" s="3"/>
    </row>
    <row r="6">
      <c r="A6" s="3"/>
      <c r="B6" s="3"/>
      <c r="E6" s="17"/>
      <c r="F6" s="17"/>
      <c r="G6" s="17"/>
      <c r="H6" s="17"/>
      <c r="I6" s="17"/>
      <c r="J6" s="17"/>
      <c r="K6" s="17"/>
      <c r="L6" s="17"/>
      <c r="N6" s="8"/>
      <c r="O6" s="23"/>
      <c r="P6" s="38" t="s">
        <v>79</v>
      </c>
      <c r="Q6" s="41">
        <f t="shared" ref="Q6:S6" si="4">$T6+Q3</f>
        <v>0</v>
      </c>
      <c r="R6" s="41">
        <f t="shared" si="4"/>
        <v>0</v>
      </c>
      <c r="S6" s="41">
        <f t="shared" si="4"/>
        <v>0</v>
      </c>
      <c r="T6" s="10">
        <f>I1</f>
        <v>0</v>
      </c>
      <c r="U6" s="41">
        <f t="shared" ref="U6:AB6" si="5">$T6+U3</f>
        <v>0</v>
      </c>
      <c r="V6" s="41">
        <f t="shared" si="5"/>
        <v>1</v>
      </c>
      <c r="W6" s="41">
        <f t="shared" si="5"/>
        <v>0</v>
      </c>
      <c r="X6" s="41">
        <f t="shared" si="5"/>
        <v>1</v>
      </c>
      <c r="Y6" s="41">
        <f t="shared" si="5"/>
        <v>2</v>
      </c>
      <c r="Z6" s="41">
        <f t="shared" si="5"/>
        <v>2</v>
      </c>
      <c r="AA6" s="41">
        <f t="shared" si="5"/>
        <v>2</v>
      </c>
      <c r="AB6" s="41">
        <f t="shared" si="5"/>
        <v>3</v>
      </c>
      <c r="AD6" s="15"/>
      <c r="AE6" s="23"/>
      <c r="AF6" s="36"/>
      <c r="AG6" s="16"/>
      <c r="AH6" s="3"/>
    </row>
    <row r="7">
      <c r="A7" s="3"/>
      <c r="B7" s="3"/>
      <c r="E7" s="17"/>
      <c r="F7" s="17"/>
      <c r="G7" s="17"/>
      <c r="H7" s="17"/>
      <c r="I7" s="17"/>
      <c r="J7" s="17"/>
      <c r="K7" s="17"/>
      <c r="L7" s="17"/>
      <c r="N7" s="8"/>
      <c r="O7" s="23"/>
      <c r="P7" s="38" t="s">
        <v>112</v>
      </c>
      <c r="Q7" s="41">
        <f t="shared" ref="Q7:S7" si="6">$T7+Q4</f>
        <v>9</v>
      </c>
      <c r="R7" s="41">
        <f t="shared" si="6"/>
        <v>9</v>
      </c>
      <c r="S7" s="41">
        <f t="shared" si="6"/>
        <v>10</v>
      </c>
      <c r="T7" s="10">
        <f>J1</f>
        <v>10</v>
      </c>
      <c r="U7" s="41">
        <f t="shared" ref="U7:AB7" si="7">$T7+U4</f>
        <v>11</v>
      </c>
      <c r="V7" s="41">
        <f t="shared" si="7"/>
        <v>11</v>
      </c>
      <c r="W7" s="41">
        <f t="shared" si="7"/>
        <v>12</v>
      </c>
      <c r="X7" s="41">
        <f t="shared" si="7"/>
        <v>12</v>
      </c>
      <c r="Y7" s="41">
        <f t="shared" si="7"/>
        <v>12</v>
      </c>
      <c r="Z7" s="41">
        <f t="shared" si="7"/>
        <v>12</v>
      </c>
      <c r="AA7" s="41">
        <f t="shared" si="7"/>
        <v>13</v>
      </c>
      <c r="AB7" s="41">
        <f t="shared" si="7"/>
        <v>14</v>
      </c>
      <c r="AD7" s="15"/>
      <c r="AE7" s="23"/>
      <c r="AF7" s="36"/>
      <c r="AG7" s="16"/>
      <c r="AH7" s="3"/>
    </row>
    <row r="8">
      <c r="A8" s="3"/>
      <c r="B8" s="3"/>
      <c r="E8" s="17"/>
      <c r="F8" s="17"/>
      <c r="G8" s="17"/>
      <c r="H8" s="17"/>
      <c r="I8" s="17"/>
      <c r="J8" s="17"/>
      <c r="K8" s="17"/>
      <c r="L8" s="17"/>
      <c r="N8" s="8"/>
      <c r="O8" s="23"/>
      <c r="P8" s="42" t="s">
        <v>65</v>
      </c>
      <c r="Q8" s="43">
        <f t="shared" ref="Q8:S8" si="8">R8</f>
        <v>0</v>
      </c>
      <c r="R8" s="43">
        <f t="shared" si="8"/>
        <v>0</v>
      </c>
      <c r="S8" s="43">
        <f t="shared" si="8"/>
        <v>0</v>
      </c>
      <c r="T8" s="19">
        <v>0.0</v>
      </c>
      <c r="U8" s="43">
        <f t="shared" ref="U8:W8" si="9">T8</f>
        <v>0</v>
      </c>
      <c r="V8" s="43">
        <f t="shared" si="9"/>
        <v>0</v>
      </c>
      <c r="W8" s="43">
        <f t="shared" si="9"/>
        <v>0</v>
      </c>
      <c r="X8" s="43">
        <f>W8+1</f>
        <v>1</v>
      </c>
      <c r="Y8" s="43">
        <f t="shared" ref="Y8:AA8" si="10">X8</f>
        <v>1</v>
      </c>
      <c r="Z8" s="43">
        <f t="shared" si="10"/>
        <v>1</v>
      </c>
      <c r="AA8" s="43">
        <f t="shared" si="10"/>
        <v>1</v>
      </c>
      <c r="AB8" s="43">
        <f>AA8+1</f>
        <v>2</v>
      </c>
      <c r="AC8" s="20"/>
      <c r="AD8" s="22"/>
      <c r="AE8" s="44"/>
      <c r="AF8" s="36"/>
      <c r="AG8" s="16"/>
      <c r="AH8" s="3"/>
    </row>
    <row r="9">
      <c r="A9" s="3"/>
      <c r="B9" s="3"/>
      <c r="E9" s="17"/>
      <c r="F9" s="17"/>
      <c r="G9" s="17"/>
      <c r="H9" s="17"/>
      <c r="I9" s="17"/>
      <c r="J9" s="17"/>
      <c r="K9" s="17"/>
      <c r="L9" s="17"/>
      <c r="N9" s="8"/>
      <c r="P9" s="45"/>
      <c r="Q9" s="32"/>
      <c r="R9" s="32"/>
      <c r="S9" s="32"/>
      <c r="T9" s="32"/>
      <c r="U9" s="32"/>
      <c r="V9" s="32"/>
      <c r="W9" s="32"/>
      <c r="X9" s="32"/>
      <c r="Y9" s="32"/>
      <c r="Z9" s="32"/>
      <c r="AA9" s="32"/>
      <c r="AB9" s="32"/>
      <c r="AC9" s="32"/>
      <c r="AD9" s="33"/>
      <c r="AE9" s="32"/>
      <c r="AG9" s="16"/>
      <c r="AH9" s="3"/>
    </row>
    <row r="10">
      <c r="A10" s="3"/>
      <c r="B10" s="3"/>
      <c r="E10" s="17"/>
      <c r="F10" s="17"/>
      <c r="G10" s="17"/>
      <c r="H10" s="17"/>
      <c r="I10" s="17"/>
      <c r="J10" s="17"/>
      <c r="K10" s="17"/>
      <c r="L10" s="17"/>
      <c r="N10" s="8"/>
      <c r="P10" s="7" t="s">
        <v>200</v>
      </c>
      <c r="Q10" s="10">
        <f t="shared" ref="Q10:AB10" si="11">Q5+Q6+Q8</f>
        <v>0</v>
      </c>
      <c r="R10" s="10">
        <f t="shared" si="11"/>
        <v>1</v>
      </c>
      <c r="S10" s="10">
        <f t="shared" si="11"/>
        <v>1</v>
      </c>
      <c r="T10" s="10">
        <f t="shared" si="11"/>
        <v>2</v>
      </c>
      <c r="U10" s="10">
        <f t="shared" si="11"/>
        <v>3</v>
      </c>
      <c r="V10" s="10">
        <f t="shared" si="11"/>
        <v>3</v>
      </c>
      <c r="W10" s="10">
        <f t="shared" si="11"/>
        <v>4</v>
      </c>
      <c r="X10" s="10">
        <f t="shared" si="11"/>
        <v>6</v>
      </c>
      <c r="Y10" s="10">
        <f t="shared" si="11"/>
        <v>5</v>
      </c>
      <c r="Z10" s="10">
        <f t="shared" si="11"/>
        <v>6</v>
      </c>
      <c r="AA10" s="10">
        <f t="shared" si="11"/>
        <v>7</v>
      </c>
      <c r="AB10" s="10">
        <f t="shared" si="11"/>
        <v>10</v>
      </c>
      <c r="AD10" s="15"/>
      <c r="AG10" s="16"/>
      <c r="AH10" s="3"/>
    </row>
    <row r="11">
      <c r="A11" s="3"/>
      <c r="B11" s="3"/>
      <c r="E11" s="17"/>
      <c r="F11" s="17"/>
      <c r="G11" s="17"/>
      <c r="H11" s="17"/>
      <c r="I11" s="17"/>
      <c r="J11" s="17"/>
      <c r="K11" s="17"/>
      <c r="L11" s="17"/>
      <c r="N11" s="8"/>
      <c r="AD11" s="15"/>
      <c r="AG11" s="16"/>
      <c r="AH11" s="3"/>
    </row>
    <row r="12">
      <c r="A12" s="46">
        <v>3.0</v>
      </c>
      <c r="B12" s="47"/>
      <c r="C12" s="48" t="str">
        <f>'Import git'!A1</f>
        <v>id</v>
      </c>
      <c r="D12" s="48" t="str">
        <f>'Import git'!D1</f>
        <v>Nom</v>
      </c>
      <c r="E12" s="49" t="str">
        <f>'Import git'!F1</f>
        <v>niv</v>
      </c>
      <c r="F12" s="49" t="str">
        <f>'Import git'!G1</f>
        <v>niv_salle</v>
      </c>
      <c r="G12" s="49" t="str">
        <f>'Import git'!H1</f>
        <v>att</v>
      </c>
      <c r="H12" s="49" t="str">
        <f>'Import git'!I1</f>
        <v>d_a</v>
      </c>
      <c r="I12" s="49" t="str">
        <f>'Import git'!J1</f>
        <v>def</v>
      </c>
      <c r="J12" s="49" t="str">
        <f>'Import git'!K1</f>
        <v>PV</v>
      </c>
      <c r="K12" s="49" t="str">
        <f>'Import git'!L1</f>
        <v>con</v>
      </c>
      <c r="L12" s="49" t="str">
        <f>'Import git'!M1</f>
        <v>esprit</v>
      </c>
      <c r="M12" s="20"/>
      <c r="N12" s="50" t="s">
        <v>200</v>
      </c>
      <c r="O12" s="20"/>
      <c r="P12" s="20"/>
      <c r="Q12" s="20"/>
      <c r="R12" s="20"/>
      <c r="S12" s="20"/>
      <c r="T12" s="20"/>
      <c r="U12" s="20"/>
      <c r="V12" s="20"/>
      <c r="W12" s="20"/>
      <c r="X12" s="20"/>
      <c r="Y12" s="20"/>
      <c r="Z12" s="20"/>
      <c r="AA12" s="20"/>
      <c r="AB12" s="20"/>
      <c r="AC12" s="20"/>
      <c r="AD12" s="51" t="s">
        <v>216</v>
      </c>
      <c r="AE12" s="19" t="s">
        <v>217</v>
      </c>
      <c r="AF12" s="20"/>
      <c r="AG12" s="52"/>
      <c r="AH12" s="53" t="str">
        <f>'Import git'!P1</f>
        <v>special</v>
      </c>
    </row>
    <row r="13">
      <c r="A13" s="54"/>
      <c r="B13" s="55">
        <f>1+(ROW(B13)-ROW(B$13))/$A$12</f>
        <v>1</v>
      </c>
      <c r="C13" s="27">
        <f t="array" ref="C13">INDEX('Import git'!A$2:C$15,$B13,1)</f>
        <v>1</v>
      </c>
      <c r="D13" s="27" t="str">
        <f t="array" ref="D13">INDEX('Import git'!D$2:D$15,$B13)</f>
        <v>Araignée géante</v>
      </c>
      <c r="E13" s="56">
        <f t="array" ref="E13">INDEX('Import git'!F$2:F$15,$B13)</f>
        <v>1</v>
      </c>
      <c r="F13" s="56" t="str">
        <f t="array" ref="F13">INDEX('Import git'!G$2:G$15,$B13)</f>
        <v>1</v>
      </c>
      <c r="G13" s="56">
        <f t="array" ref="G13">INDEX('Import git'!H$2:H$15,$B13)</f>
        <v>1</v>
      </c>
      <c r="H13" s="56">
        <f t="array" ref="H13">INDEX('Import git'!I$2:I$15,$B13)</f>
        <v>1</v>
      </c>
      <c r="I13" s="56">
        <f t="array" ref="I13">INDEX('Import git'!J$2:J$15,$B13)</f>
        <v>0</v>
      </c>
      <c r="J13" s="56">
        <f t="array" ref="J13">INDEX('Import git'!K$2:K$15,$B13)</f>
        <v>4</v>
      </c>
      <c r="K13" s="56">
        <f t="array" ref="K13">INDEX('Import git'!L$2:L$15,$B13)</f>
        <v>0</v>
      </c>
      <c r="L13" s="56" t="str">
        <f t="array" ref="L13">INDEX('Import git'!M$2:M$15,$B13)</f>
        <v/>
      </c>
      <c r="M13" s="32"/>
      <c r="N13" s="25">
        <f>G13+H13+I13+K13</f>
        <v>2</v>
      </c>
      <c r="O13" s="32"/>
      <c r="P13" s="58" t="s">
        <v>228</v>
      </c>
      <c r="Q13" s="27" t="str">
        <f t="shared" ref="Q13:AB13" si="12">CEILING(($J13-$K13)/(Q$5-$I13-$K13), 1)</f>
        <v>#DIV/0!</v>
      </c>
      <c r="R13" s="27">
        <f t="shared" si="12"/>
        <v>4</v>
      </c>
      <c r="S13" s="27">
        <f t="shared" si="12"/>
        <v>4</v>
      </c>
      <c r="T13" s="27">
        <f t="shared" si="12"/>
        <v>2</v>
      </c>
      <c r="U13" s="27">
        <f t="shared" si="12"/>
        <v>2</v>
      </c>
      <c r="V13" s="27">
        <f t="shared" si="12"/>
        <v>2</v>
      </c>
      <c r="W13" s="27">
        <f t="shared" si="12"/>
        <v>1</v>
      </c>
      <c r="X13" s="27">
        <f t="shared" si="12"/>
        <v>1</v>
      </c>
      <c r="Y13" s="27">
        <f t="shared" si="12"/>
        <v>2</v>
      </c>
      <c r="Z13" s="27">
        <f t="shared" si="12"/>
        <v>2</v>
      </c>
      <c r="AA13" s="27">
        <f t="shared" si="12"/>
        <v>1</v>
      </c>
      <c r="AB13" s="27">
        <f t="shared" si="12"/>
        <v>1</v>
      </c>
      <c r="AC13" s="32"/>
      <c r="AD13" s="60" t="s">
        <v>234</v>
      </c>
      <c r="AE13" s="60" t="s">
        <v>235</v>
      </c>
      <c r="AF13" s="32"/>
      <c r="AG13" s="61"/>
      <c r="AH13" s="62" t="str">
        <f t="array" ref="AH13">INDEX('Import git'!P$2:P$15,$B13)</f>
        <v>&lt;u&gt;Poison&lt;/u&gt;: 1 dégât automatique</v>
      </c>
    </row>
    <row r="14">
      <c r="A14" s="3"/>
      <c r="B14" s="3"/>
      <c r="E14" s="17"/>
      <c r="F14" s="17"/>
      <c r="G14" s="17"/>
      <c r="H14" s="17"/>
      <c r="I14" s="17"/>
      <c r="J14" s="17"/>
      <c r="K14" s="17"/>
      <c r="L14" s="17"/>
      <c r="N14" s="8"/>
      <c r="P14" s="9" t="s">
        <v>236</v>
      </c>
      <c r="Q14" s="10" t="str">
        <f t="shared" ref="Q14:AB14" si="13">Q13*MAX($H13,$G13-Q$6+$H13-Q$8)</f>
        <v>#DIV/0!</v>
      </c>
      <c r="R14" s="10">
        <f t="shared" si="13"/>
        <v>8</v>
      </c>
      <c r="S14" s="10">
        <f t="shared" si="13"/>
        <v>8</v>
      </c>
      <c r="T14" s="10">
        <f t="shared" si="13"/>
        <v>4</v>
      </c>
      <c r="U14" s="10">
        <f t="shared" si="13"/>
        <v>4</v>
      </c>
      <c r="V14" s="10">
        <f t="shared" si="13"/>
        <v>2</v>
      </c>
      <c r="W14" s="10">
        <f t="shared" si="13"/>
        <v>2</v>
      </c>
      <c r="X14" s="10">
        <f t="shared" si="13"/>
        <v>1</v>
      </c>
      <c r="Y14" s="10">
        <f t="shared" si="13"/>
        <v>2</v>
      </c>
      <c r="Z14" s="10">
        <f t="shared" si="13"/>
        <v>2</v>
      </c>
      <c r="AA14" s="10">
        <f t="shared" si="13"/>
        <v>1</v>
      </c>
      <c r="AB14" s="10">
        <f t="shared" si="13"/>
        <v>1</v>
      </c>
      <c r="AG14" s="16"/>
    </row>
    <row r="15" ht="18.75" customHeight="1">
      <c r="A15" s="47"/>
      <c r="B15" s="47"/>
      <c r="C15" s="20"/>
      <c r="D15" s="20"/>
      <c r="E15" s="63"/>
      <c r="F15" s="63"/>
      <c r="G15" s="63"/>
      <c r="H15" s="63"/>
      <c r="I15" s="63"/>
      <c r="J15" s="63"/>
      <c r="K15" s="63"/>
      <c r="L15" s="63"/>
      <c r="M15" s="20"/>
      <c r="N15" s="64"/>
      <c r="O15" s="20"/>
      <c r="P15" s="19" t="s">
        <v>237</v>
      </c>
      <c r="Q15" s="21">
        <f t="shared" ref="Q15:AB15" si="14">IF(ISNUMBER(Q14),IF(Q14&lt;Q$7, 1, 0), 0)</f>
        <v>0</v>
      </c>
      <c r="R15" s="21">
        <f t="shared" si="14"/>
        <v>1</v>
      </c>
      <c r="S15" s="21">
        <f t="shared" si="14"/>
        <v>1</v>
      </c>
      <c r="T15" s="21">
        <f t="shared" si="14"/>
        <v>1</v>
      </c>
      <c r="U15" s="21">
        <f t="shared" si="14"/>
        <v>1</v>
      </c>
      <c r="V15" s="21">
        <f t="shared" si="14"/>
        <v>1</v>
      </c>
      <c r="W15" s="21">
        <f t="shared" si="14"/>
        <v>1</v>
      </c>
      <c r="X15" s="21">
        <f t="shared" si="14"/>
        <v>1</v>
      </c>
      <c r="Y15" s="21">
        <f t="shared" si="14"/>
        <v>1</v>
      </c>
      <c r="Z15" s="21">
        <f t="shared" si="14"/>
        <v>1</v>
      </c>
      <c r="AA15" s="21">
        <f t="shared" si="14"/>
        <v>1</v>
      </c>
      <c r="AB15" s="21">
        <f t="shared" si="14"/>
        <v>1</v>
      </c>
      <c r="AC15" s="20"/>
      <c r="AD15" s="20"/>
      <c r="AE15" s="20"/>
      <c r="AF15" s="20"/>
      <c r="AG15" s="52"/>
      <c r="AH15" s="20"/>
    </row>
    <row r="16">
      <c r="A16" s="54"/>
      <c r="B16" s="55">
        <f>1+(ROW(B16)-ROW(B$13))/$A$12</f>
        <v>2</v>
      </c>
      <c r="C16" s="27">
        <f t="array" ref="C16">INDEX('Import git'!A$2:C$15,$B16,1)</f>
        <v>2</v>
      </c>
      <c r="D16" s="27" t="str">
        <f t="array" ref="D16">INDEX('Import git'!D$2:D$15,$B16)</f>
        <v>Gobelin</v>
      </c>
      <c r="E16" s="56">
        <f t="array" ref="E16">INDEX('Import git'!F$2:F$15,$B16)</f>
        <v>1</v>
      </c>
      <c r="F16" s="56" t="str">
        <f t="array" ref="F16">INDEX('Import git'!G$2:G$15,$B16)</f>
        <v>1</v>
      </c>
      <c r="G16" s="56">
        <f t="array" ref="G16">INDEX('Import git'!H$2:H$15,$B16)</f>
        <v>2</v>
      </c>
      <c r="H16" s="56">
        <f t="array" ref="H16">INDEX('Import git'!I$2:I$15,$B16)</f>
        <v>0</v>
      </c>
      <c r="I16" s="56">
        <f t="array" ref="I16">INDEX('Import git'!J$2:J$15,$B16)</f>
        <v>0</v>
      </c>
      <c r="J16" s="56">
        <f t="array" ref="J16">INDEX('Import git'!K$2:K$15,$B16)</f>
        <v>4</v>
      </c>
      <c r="K16" s="56">
        <f t="array" ref="K16">INDEX('Import git'!L$2:L$15,$B16)</f>
        <v>0</v>
      </c>
      <c r="L16" s="56" t="str">
        <f t="array" ref="L16">INDEX('Import git'!M$2:M$15,$B16)</f>
        <v>?</v>
      </c>
      <c r="M16" s="32"/>
      <c r="N16" s="25">
        <f>G16+H16+I16+K16</f>
        <v>2</v>
      </c>
      <c r="O16" s="32"/>
      <c r="P16" s="58" t="s">
        <v>228</v>
      </c>
      <c r="Q16" s="27" t="str">
        <f t="shared" ref="Q16:AB16" si="15">CEILING(($J16-$K16)/(Q$5-$I16-$K16), 1)</f>
        <v>#DIV/0!</v>
      </c>
      <c r="R16" s="27">
        <f t="shared" si="15"/>
        <v>4</v>
      </c>
      <c r="S16" s="27">
        <f t="shared" si="15"/>
        <v>4</v>
      </c>
      <c r="T16" s="27">
        <f t="shared" si="15"/>
        <v>2</v>
      </c>
      <c r="U16" s="27">
        <f t="shared" si="15"/>
        <v>2</v>
      </c>
      <c r="V16" s="27">
        <f t="shared" si="15"/>
        <v>2</v>
      </c>
      <c r="W16" s="27">
        <f t="shared" si="15"/>
        <v>1</v>
      </c>
      <c r="X16" s="27">
        <f t="shared" si="15"/>
        <v>1</v>
      </c>
      <c r="Y16" s="27">
        <f t="shared" si="15"/>
        <v>2</v>
      </c>
      <c r="Z16" s="27">
        <f t="shared" si="15"/>
        <v>2</v>
      </c>
      <c r="AA16" s="27">
        <f t="shared" si="15"/>
        <v>1</v>
      </c>
      <c r="AB16" s="27">
        <f t="shared" si="15"/>
        <v>1</v>
      </c>
      <c r="AC16" s="32"/>
      <c r="AD16" s="60" t="s">
        <v>239</v>
      </c>
      <c r="AE16" s="60" t="s">
        <v>240</v>
      </c>
      <c r="AF16" s="32"/>
      <c r="AG16" s="61"/>
      <c r="AH16" s="62" t="str">
        <f t="array" ref="AH16">INDEX('Import git'!P$2:P$15,$B16)</f>
        <v/>
      </c>
    </row>
    <row r="17">
      <c r="A17" s="3"/>
      <c r="B17" s="3"/>
      <c r="E17" s="17"/>
      <c r="F17" s="17"/>
      <c r="G17" s="17"/>
      <c r="H17" s="17"/>
      <c r="I17" s="17"/>
      <c r="J17" s="17"/>
      <c r="K17" s="17"/>
      <c r="L17" s="17"/>
      <c r="N17" s="8"/>
      <c r="P17" s="9" t="s">
        <v>236</v>
      </c>
      <c r="Q17" s="10" t="str">
        <f t="shared" ref="Q17:AB17" si="16">Q16*MAX($H16,$G16-Q$6+$H16-Q$8)</f>
        <v>#DIV/0!</v>
      </c>
      <c r="R17" s="10">
        <f t="shared" si="16"/>
        <v>8</v>
      </c>
      <c r="S17" s="10">
        <f t="shared" si="16"/>
        <v>8</v>
      </c>
      <c r="T17" s="10">
        <f t="shared" si="16"/>
        <v>4</v>
      </c>
      <c r="U17" s="10">
        <f t="shared" si="16"/>
        <v>4</v>
      </c>
      <c r="V17" s="10">
        <f t="shared" si="16"/>
        <v>2</v>
      </c>
      <c r="W17" s="10">
        <f t="shared" si="16"/>
        <v>2</v>
      </c>
      <c r="X17" s="10">
        <f t="shared" si="16"/>
        <v>0</v>
      </c>
      <c r="Y17" s="10">
        <f t="shared" si="16"/>
        <v>0</v>
      </c>
      <c r="Z17" s="10">
        <f t="shared" si="16"/>
        <v>0</v>
      </c>
      <c r="AA17" s="10">
        <f t="shared" si="16"/>
        <v>0</v>
      </c>
      <c r="AB17" s="10">
        <f t="shared" si="16"/>
        <v>0</v>
      </c>
      <c r="AG17" s="16"/>
    </row>
    <row r="18">
      <c r="A18" s="47"/>
      <c r="B18" s="47"/>
      <c r="C18" s="20"/>
      <c r="D18" s="20"/>
      <c r="E18" s="63"/>
      <c r="F18" s="63"/>
      <c r="G18" s="63"/>
      <c r="H18" s="63"/>
      <c r="I18" s="63"/>
      <c r="J18" s="63"/>
      <c r="K18" s="63"/>
      <c r="L18" s="63"/>
      <c r="M18" s="20"/>
      <c r="N18" s="64"/>
      <c r="O18" s="20"/>
      <c r="P18" s="19" t="s">
        <v>237</v>
      </c>
      <c r="Q18" s="21">
        <f t="shared" ref="Q18:AB18" si="17">IF(ISNUMBER(Q17),IF(Q17&lt;Q$7, 1, 0), 0)</f>
        <v>0</v>
      </c>
      <c r="R18" s="21">
        <f t="shared" si="17"/>
        <v>1</v>
      </c>
      <c r="S18" s="21">
        <f t="shared" si="17"/>
        <v>1</v>
      </c>
      <c r="T18" s="21">
        <f t="shared" si="17"/>
        <v>1</v>
      </c>
      <c r="U18" s="21">
        <f t="shared" si="17"/>
        <v>1</v>
      </c>
      <c r="V18" s="21">
        <f t="shared" si="17"/>
        <v>1</v>
      </c>
      <c r="W18" s="21">
        <f t="shared" si="17"/>
        <v>1</v>
      </c>
      <c r="X18" s="21">
        <f t="shared" si="17"/>
        <v>1</v>
      </c>
      <c r="Y18" s="21">
        <f t="shared" si="17"/>
        <v>1</v>
      </c>
      <c r="Z18" s="21">
        <f t="shared" si="17"/>
        <v>1</v>
      </c>
      <c r="AA18" s="21">
        <f t="shared" si="17"/>
        <v>1</v>
      </c>
      <c r="AB18" s="21">
        <f t="shared" si="17"/>
        <v>1</v>
      </c>
      <c r="AC18" s="20"/>
      <c r="AD18" s="20"/>
      <c r="AE18" s="20"/>
      <c r="AF18" s="20"/>
      <c r="AG18" s="52"/>
      <c r="AH18" s="20"/>
    </row>
    <row r="19">
      <c r="A19" s="54"/>
      <c r="B19" s="55">
        <f>1+(ROW(B19)-ROW(B$13))/$A$12</f>
        <v>3</v>
      </c>
      <c r="C19" s="27">
        <f t="array" ref="C19">INDEX('Import git'!A$2:C$15,$B19,1)</f>
        <v>3</v>
      </c>
      <c r="D19" s="27" t="str">
        <f t="array" ref="D19">INDEX('Import git'!D$2:D$15,$B19)</f>
        <v>Squelette</v>
      </c>
      <c r="E19" s="56">
        <f t="array" ref="E19">INDEX('Import git'!F$2:F$15,$B19)</f>
        <v>1</v>
      </c>
      <c r="F19" s="56" t="str">
        <f t="array" ref="F19">INDEX('Import git'!G$2:G$15,$B19)</f>
        <v>1-2</v>
      </c>
      <c r="G19" s="56">
        <f t="array" ref="G19">INDEX('Import git'!H$2:H$15,$B19)</f>
        <v>1</v>
      </c>
      <c r="H19" s="56">
        <f t="array" ref="H19">INDEX('Import git'!I$2:I$15,$B19)</f>
        <v>0</v>
      </c>
      <c r="I19" s="56">
        <f t="array" ref="I19">INDEX('Import git'!J$2:J$15,$B19)</f>
        <v>1</v>
      </c>
      <c r="J19" s="56">
        <f t="array" ref="J19">INDEX('Import git'!K$2:K$15,$B19)</f>
        <v>2</v>
      </c>
      <c r="K19" s="56">
        <f t="array" ref="K19">INDEX('Import git'!L$2:L$15,$B19)</f>
        <v>1</v>
      </c>
      <c r="L19" s="56" t="str">
        <f t="array" ref="L19">INDEX('Import git'!M$2:M$15,$B19)</f>
        <v/>
      </c>
      <c r="M19" s="32"/>
      <c r="N19" s="25">
        <f>G19+H19+I19+K19</f>
        <v>3</v>
      </c>
      <c r="O19" s="32"/>
      <c r="P19" s="58" t="s">
        <v>228</v>
      </c>
      <c r="Q19" s="58">
        <v>2.0</v>
      </c>
      <c r="R19" s="58">
        <v>2.0</v>
      </c>
      <c r="S19" s="58">
        <v>2.0</v>
      </c>
      <c r="T19" s="58">
        <v>2.0</v>
      </c>
      <c r="U19" s="27">
        <f t="shared" ref="U19:AB19" si="18">CEILING(($J19-$K19)/(U$5-$I19-$K19), 1)</f>
        <v>1</v>
      </c>
      <c r="V19" s="27" t="str">
        <f t="shared" si="18"/>
        <v>#DIV/0!</v>
      </c>
      <c r="W19" s="27">
        <f t="shared" si="18"/>
        <v>1</v>
      </c>
      <c r="X19" s="27">
        <f t="shared" si="18"/>
        <v>1</v>
      </c>
      <c r="Y19" s="27" t="str">
        <f t="shared" si="18"/>
        <v>#DIV/0!</v>
      </c>
      <c r="Z19" s="27">
        <f t="shared" si="18"/>
        <v>1</v>
      </c>
      <c r="AA19" s="27">
        <f t="shared" si="18"/>
        <v>1</v>
      </c>
      <c r="AB19" s="27">
        <f t="shared" si="18"/>
        <v>1</v>
      </c>
      <c r="AC19" s="32"/>
      <c r="AD19" s="60" t="s">
        <v>241</v>
      </c>
      <c r="AE19" s="60" t="s">
        <v>242</v>
      </c>
      <c r="AF19" s="32"/>
      <c r="AG19" s="67" t="s">
        <v>243</v>
      </c>
      <c r="AH19" s="62" t="str">
        <f t="array" ref="AH19">INDEX('Import git'!P$2:P$15,$B19)</f>
        <v>&lt;u&gt;Décharné&lt;/u&gt;: Encaisse 1 dégât supplémentaire si arme 'de choc', 1 contre tout autre type d'arme&lt;br&gt;&lt;u&gt;Mort-vivant&lt;/u&gt;: Encaisse 1 dégât supplémentaire si arme argentée</v>
      </c>
    </row>
    <row r="20">
      <c r="A20" s="3"/>
      <c r="B20" s="3"/>
      <c r="E20" s="17"/>
      <c r="F20" s="17"/>
      <c r="G20" s="17"/>
      <c r="H20" s="17"/>
      <c r="I20" s="17"/>
      <c r="J20" s="17"/>
      <c r="K20" s="17"/>
      <c r="L20" s="17"/>
      <c r="N20" s="8"/>
      <c r="P20" s="9" t="s">
        <v>236</v>
      </c>
      <c r="Q20" s="9">
        <v>4.0</v>
      </c>
      <c r="R20" s="9">
        <v>4.0</v>
      </c>
      <c r="S20" s="9">
        <v>4.0</v>
      </c>
      <c r="T20" s="9">
        <v>4.0</v>
      </c>
      <c r="U20" s="10">
        <f t="shared" ref="U20:AB20" si="19">U19*MAX($H19,$G19-U$6+$H19-U$8)</f>
        <v>1</v>
      </c>
      <c r="V20" s="10" t="str">
        <f t="shared" si="19"/>
        <v>#DIV/0!</v>
      </c>
      <c r="W20" s="10">
        <f t="shared" si="19"/>
        <v>1</v>
      </c>
      <c r="X20" s="10">
        <f t="shared" si="19"/>
        <v>0</v>
      </c>
      <c r="Y20" s="10" t="str">
        <f t="shared" si="19"/>
        <v>#DIV/0!</v>
      </c>
      <c r="Z20" s="10">
        <f t="shared" si="19"/>
        <v>0</v>
      </c>
      <c r="AA20" s="10">
        <f t="shared" si="19"/>
        <v>0</v>
      </c>
      <c r="AB20" s="10">
        <f t="shared" si="19"/>
        <v>0</v>
      </c>
    </row>
    <row r="21">
      <c r="A21" s="47"/>
      <c r="B21" s="47"/>
      <c r="C21" s="20"/>
      <c r="D21" s="20"/>
      <c r="E21" s="63"/>
      <c r="F21" s="63"/>
      <c r="G21" s="63"/>
      <c r="H21" s="63"/>
      <c r="I21" s="63"/>
      <c r="J21" s="63"/>
      <c r="K21" s="63"/>
      <c r="L21" s="63"/>
      <c r="M21" s="20"/>
      <c r="N21" s="64"/>
      <c r="O21" s="20"/>
      <c r="P21" s="19" t="s">
        <v>237</v>
      </c>
      <c r="Q21" s="21">
        <f t="shared" ref="Q21:AB21" si="20">IF(ISNUMBER(Q20),IF(Q20&lt;Q$7, 1, 0), 0)</f>
        <v>1</v>
      </c>
      <c r="R21" s="21">
        <f t="shared" si="20"/>
        <v>1</v>
      </c>
      <c r="S21" s="21">
        <f t="shared" si="20"/>
        <v>1</v>
      </c>
      <c r="T21" s="21">
        <f t="shared" si="20"/>
        <v>1</v>
      </c>
      <c r="U21" s="21">
        <f t="shared" si="20"/>
        <v>1</v>
      </c>
      <c r="V21" s="21">
        <f t="shared" si="20"/>
        <v>0</v>
      </c>
      <c r="W21" s="21">
        <f t="shared" si="20"/>
        <v>1</v>
      </c>
      <c r="X21" s="21">
        <f t="shared" si="20"/>
        <v>1</v>
      </c>
      <c r="Y21" s="21">
        <f t="shared" si="20"/>
        <v>0</v>
      </c>
      <c r="Z21" s="21">
        <f t="shared" si="20"/>
        <v>1</v>
      </c>
      <c r="AA21" s="21">
        <f t="shared" si="20"/>
        <v>1</v>
      </c>
      <c r="AB21" s="21">
        <f t="shared" si="20"/>
        <v>1</v>
      </c>
      <c r="AC21" s="20"/>
      <c r="AD21" s="20"/>
      <c r="AE21" s="20"/>
      <c r="AF21" s="20"/>
      <c r="AG21" s="20"/>
      <c r="AH21" s="20"/>
    </row>
    <row r="22">
      <c r="A22" s="54"/>
      <c r="B22" s="55">
        <f>1+(ROW(B22)-ROW(B$13))/$A$12</f>
        <v>4</v>
      </c>
      <c r="C22" s="27">
        <f t="array" ref="C22">INDEX('Import git'!A$2:C$15,$B22,1)</f>
        <v>4</v>
      </c>
      <c r="D22" s="27" t="str">
        <f t="array" ref="D22">INDEX('Import git'!D$2:D$15,$B22)</f>
        <v>Zombie</v>
      </c>
      <c r="E22" s="56">
        <f t="array" ref="E22">INDEX('Import git'!F$2:F$15,$B22)</f>
        <v>1</v>
      </c>
      <c r="F22" s="56" t="str">
        <f t="array" ref="F22">INDEX('Import git'!G$2:G$15,$B22)</f>
        <v>1-2</v>
      </c>
      <c r="G22" s="56">
        <f t="array" ref="G22">INDEX('Import git'!H$2:H$15,$B22)</f>
        <v>1</v>
      </c>
      <c r="H22" s="56">
        <f t="array" ref="H22">INDEX('Import git'!I$2:I$15,$B22)</f>
        <v>1</v>
      </c>
      <c r="I22" s="56">
        <f t="array" ref="I22">INDEX('Import git'!J$2:J$15,$B22)</f>
        <v>0</v>
      </c>
      <c r="J22" s="56">
        <f t="array" ref="J22">INDEX('Import git'!K$2:K$15,$B22)</f>
        <v>2</v>
      </c>
      <c r="K22" s="56">
        <f t="array" ref="K22">INDEX('Import git'!L$2:L$15,$B22)</f>
        <v>1</v>
      </c>
      <c r="L22" s="56" t="str">
        <f t="array" ref="L22">INDEX('Import git'!M$2:M$15,$B22)</f>
        <v/>
      </c>
      <c r="M22" s="32"/>
      <c r="N22" s="25">
        <f>G22+H22+I22+K22</f>
        <v>3</v>
      </c>
      <c r="O22" s="32"/>
      <c r="P22" s="58" t="s">
        <v>228</v>
      </c>
      <c r="Q22" s="58">
        <v>2.0</v>
      </c>
      <c r="R22" s="58">
        <v>2.0</v>
      </c>
      <c r="S22" s="58">
        <v>2.0</v>
      </c>
      <c r="T22" s="58">
        <v>2.0</v>
      </c>
      <c r="U22" s="27">
        <f t="shared" ref="U22:AB22" si="21">CEILING(($J22-$K22)/(U$5-$I22-$K22), 1)</f>
        <v>1</v>
      </c>
      <c r="V22" s="27">
        <f t="shared" si="21"/>
        <v>1</v>
      </c>
      <c r="W22" s="27">
        <f t="shared" si="21"/>
        <v>1</v>
      </c>
      <c r="X22" s="27">
        <f t="shared" si="21"/>
        <v>1</v>
      </c>
      <c r="Y22" s="27">
        <f t="shared" si="21"/>
        <v>1</v>
      </c>
      <c r="Z22" s="27">
        <f t="shared" si="21"/>
        <v>1</v>
      </c>
      <c r="AA22" s="27">
        <f t="shared" si="21"/>
        <v>1</v>
      </c>
      <c r="AB22" s="27">
        <f t="shared" si="21"/>
        <v>1</v>
      </c>
      <c r="AC22" s="32"/>
      <c r="AD22" s="60" t="s">
        <v>244</v>
      </c>
      <c r="AE22" s="60" t="s">
        <v>245</v>
      </c>
      <c r="AF22" s="32"/>
      <c r="AG22" s="67" t="s">
        <v>246</v>
      </c>
      <c r="AH22" s="62" t="str">
        <f t="array" ref="AH22">INDEX('Import git'!P$2:P$15,$B22)</f>
        <v>&lt;u&gt;Mort-vivant&lt;/u&gt;: Encaisse 1 dégât supplémentaire si arme argentée&lt;br&gt;&lt;u&gt;Main de mort&lt;/u&gt;: Inflige 1 dégât automatique</v>
      </c>
    </row>
    <row r="23">
      <c r="A23" s="3"/>
      <c r="B23" s="3"/>
      <c r="E23" s="17"/>
      <c r="F23" s="17"/>
      <c r="G23" s="17"/>
      <c r="H23" s="17"/>
      <c r="I23" s="17"/>
      <c r="J23" s="17"/>
      <c r="K23" s="17"/>
      <c r="L23" s="17"/>
      <c r="N23" s="8"/>
      <c r="P23" s="9" t="s">
        <v>236</v>
      </c>
      <c r="Q23" s="9">
        <v>4.0</v>
      </c>
      <c r="R23" s="9">
        <v>4.0</v>
      </c>
      <c r="S23" s="9">
        <v>4.0</v>
      </c>
      <c r="T23" s="9">
        <v>4.0</v>
      </c>
      <c r="U23" s="10">
        <f t="shared" ref="U23:AB23" si="22">U22*MAX($H22,$G22-U$6+$H22-U$8)</f>
        <v>2</v>
      </c>
      <c r="V23" s="10">
        <f t="shared" si="22"/>
        <v>1</v>
      </c>
      <c r="W23" s="10">
        <f t="shared" si="22"/>
        <v>2</v>
      </c>
      <c r="X23" s="10">
        <f t="shared" si="22"/>
        <v>1</v>
      </c>
      <c r="Y23" s="10">
        <f t="shared" si="22"/>
        <v>1</v>
      </c>
      <c r="Z23" s="10">
        <f t="shared" si="22"/>
        <v>1</v>
      </c>
      <c r="AA23" s="10">
        <f t="shared" si="22"/>
        <v>1</v>
      </c>
      <c r="AB23" s="10">
        <f t="shared" si="22"/>
        <v>1</v>
      </c>
    </row>
    <row r="24">
      <c r="A24" s="47"/>
      <c r="B24" s="47"/>
      <c r="C24" s="20"/>
      <c r="D24" s="20"/>
      <c r="E24" s="63"/>
      <c r="F24" s="63"/>
      <c r="G24" s="63"/>
      <c r="H24" s="63"/>
      <c r="I24" s="63"/>
      <c r="J24" s="63"/>
      <c r="K24" s="63"/>
      <c r="L24" s="63"/>
      <c r="M24" s="20"/>
      <c r="N24" s="64"/>
      <c r="O24" s="20"/>
      <c r="P24" s="19" t="s">
        <v>237</v>
      </c>
      <c r="Q24" s="21">
        <f t="shared" ref="Q24:AB24" si="23">IF(ISNUMBER(Q23),IF(Q23&lt;Q$7, 1, 0), 0)</f>
        <v>1</v>
      </c>
      <c r="R24" s="21">
        <f t="shared" si="23"/>
        <v>1</v>
      </c>
      <c r="S24" s="21">
        <f t="shared" si="23"/>
        <v>1</v>
      </c>
      <c r="T24" s="21">
        <f t="shared" si="23"/>
        <v>1</v>
      </c>
      <c r="U24" s="21">
        <f t="shared" si="23"/>
        <v>1</v>
      </c>
      <c r="V24" s="21">
        <f t="shared" si="23"/>
        <v>1</v>
      </c>
      <c r="W24" s="21">
        <f t="shared" si="23"/>
        <v>1</v>
      </c>
      <c r="X24" s="21">
        <f t="shared" si="23"/>
        <v>1</v>
      </c>
      <c r="Y24" s="21">
        <f t="shared" si="23"/>
        <v>1</v>
      </c>
      <c r="Z24" s="21">
        <f t="shared" si="23"/>
        <v>1</v>
      </c>
      <c r="AA24" s="21">
        <f t="shared" si="23"/>
        <v>1</v>
      </c>
      <c r="AB24" s="21">
        <f t="shared" si="23"/>
        <v>1</v>
      </c>
      <c r="AC24" s="20"/>
      <c r="AD24" s="20"/>
      <c r="AE24" s="20"/>
      <c r="AF24" s="20"/>
      <c r="AG24" s="20"/>
      <c r="AH24" s="20"/>
    </row>
    <row r="25" ht="15.75" customHeight="1">
      <c r="A25" s="54"/>
      <c r="B25" s="55">
        <f>1+(ROW(B25)-ROW(B$13))/$A$12</f>
        <v>5</v>
      </c>
      <c r="C25" s="27">
        <f t="array" ref="C25">INDEX('Import git'!A$2:C$15,$B25,1)</f>
        <v>5</v>
      </c>
      <c r="D25" s="27" t="str">
        <f t="array" ref="D25">INDEX('Import git'!D$2:D$15,$B25)</f>
        <v>Orc</v>
      </c>
      <c r="E25" s="56">
        <f t="array" ref="E25">INDEX('Import git'!F$2:F$15,$B25)</f>
        <v>2</v>
      </c>
      <c r="F25" s="56" t="str">
        <f t="array" ref="F25">INDEX('Import git'!G$2:G$15,$B25)</f>
        <v>2-3</v>
      </c>
      <c r="G25" s="56">
        <f t="array" ref="G25">INDEX('Import git'!H$2:H$15,$B25)</f>
        <v>3</v>
      </c>
      <c r="H25" s="56">
        <f t="array" ref="H25">INDEX('Import git'!I$2:I$15,$B25)</f>
        <v>0</v>
      </c>
      <c r="I25" s="56">
        <f t="array" ref="I25">INDEX('Import git'!J$2:J$15,$B25)</f>
        <v>1</v>
      </c>
      <c r="J25" s="56">
        <f t="array" ref="J25">INDEX('Import git'!K$2:K$15,$B25)</f>
        <v>6</v>
      </c>
      <c r="K25" s="56">
        <f t="array" ref="K25">INDEX('Import git'!L$2:L$15,$B25)</f>
        <v>0</v>
      </c>
      <c r="L25" s="56" t="str">
        <f t="array" ref="L25">INDEX('Import git'!M$2:M$15,$B25)</f>
        <v/>
      </c>
      <c r="M25" s="32"/>
      <c r="N25" s="25">
        <f>G25+H25+I25+K25</f>
        <v>4</v>
      </c>
      <c r="O25" s="32"/>
      <c r="P25" s="58" t="s">
        <v>228</v>
      </c>
      <c r="Q25" s="27">
        <f t="shared" ref="Q25:AB25" si="24">CEILING(($J25-$K25)/(Q$5-$I25-$K25), 1)</f>
        <v>-6</v>
      </c>
      <c r="R25" s="27" t="str">
        <f t="shared" si="24"/>
        <v>#DIV/0!</v>
      </c>
      <c r="S25" s="27" t="str">
        <f t="shared" si="24"/>
        <v>#DIV/0!</v>
      </c>
      <c r="T25" s="27">
        <f t="shared" si="24"/>
        <v>6</v>
      </c>
      <c r="U25" s="27">
        <f t="shared" si="24"/>
        <v>3</v>
      </c>
      <c r="V25" s="27">
        <f t="shared" si="24"/>
        <v>6</v>
      </c>
      <c r="W25" s="27">
        <f t="shared" si="24"/>
        <v>2</v>
      </c>
      <c r="X25" s="27">
        <f t="shared" si="24"/>
        <v>2</v>
      </c>
      <c r="Y25" s="27">
        <f t="shared" si="24"/>
        <v>6</v>
      </c>
      <c r="Z25" s="27">
        <f t="shared" si="24"/>
        <v>3</v>
      </c>
      <c r="AA25" s="27">
        <f t="shared" si="24"/>
        <v>2</v>
      </c>
      <c r="AB25" s="27">
        <f t="shared" si="24"/>
        <v>2</v>
      </c>
      <c r="AC25" s="32"/>
      <c r="AD25" s="60" t="s">
        <v>247</v>
      </c>
      <c r="AE25" s="60" t="s">
        <v>248</v>
      </c>
      <c r="AF25" s="32"/>
      <c r="AG25" s="67" t="s">
        <v>93</v>
      </c>
      <c r="AH25" s="62" t="str">
        <f t="array" ref="AH25">INDEX('Import git'!P$2:P$15,$B25)</f>
        <v>&lt;u&gt;Trésor&lt;/u&gt;: Bouclier (+1 en défense), conservez cette carte après l'avoir éliminée</v>
      </c>
    </row>
    <row r="26" ht="18.75" customHeight="1">
      <c r="A26" s="3"/>
      <c r="B26" s="3"/>
      <c r="E26" s="17"/>
      <c r="F26" s="17"/>
      <c r="G26" s="17"/>
      <c r="H26" s="17"/>
      <c r="I26" s="17"/>
      <c r="J26" s="17"/>
      <c r="K26" s="17"/>
      <c r="L26" s="17"/>
      <c r="N26" s="8"/>
      <c r="P26" s="9" t="s">
        <v>236</v>
      </c>
      <c r="Q26" s="10">
        <f t="shared" ref="Q26:AB26" si="25">Q25*MAX($H25,$G25-Q$6+$H25-Q$8)</f>
        <v>-18</v>
      </c>
      <c r="R26" s="10" t="str">
        <f t="shared" si="25"/>
        <v>#DIV/0!</v>
      </c>
      <c r="S26" s="10" t="str">
        <f t="shared" si="25"/>
        <v>#DIV/0!</v>
      </c>
      <c r="T26" s="10">
        <f t="shared" si="25"/>
        <v>18</v>
      </c>
      <c r="U26" s="10">
        <f t="shared" si="25"/>
        <v>9</v>
      </c>
      <c r="V26" s="10">
        <f t="shared" si="25"/>
        <v>12</v>
      </c>
      <c r="W26" s="10">
        <f t="shared" si="25"/>
        <v>6</v>
      </c>
      <c r="X26" s="10">
        <f t="shared" si="25"/>
        <v>2</v>
      </c>
      <c r="Y26" s="10">
        <f t="shared" si="25"/>
        <v>0</v>
      </c>
      <c r="Z26" s="10">
        <f t="shared" si="25"/>
        <v>0</v>
      </c>
      <c r="AA26" s="10">
        <f t="shared" si="25"/>
        <v>0</v>
      </c>
      <c r="AB26" s="10">
        <f t="shared" si="25"/>
        <v>0</v>
      </c>
    </row>
    <row r="27" ht="18.75" customHeight="1">
      <c r="A27" s="47"/>
      <c r="B27" s="47"/>
      <c r="C27" s="20"/>
      <c r="D27" s="20"/>
      <c r="E27" s="63"/>
      <c r="F27" s="63"/>
      <c r="G27" s="63"/>
      <c r="H27" s="63"/>
      <c r="I27" s="63"/>
      <c r="J27" s="63"/>
      <c r="K27" s="63"/>
      <c r="L27" s="63"/>
      <c r="M27" s="20"/>
      <c r="N27" s="64"/>
      <c r="O27" s="20"/>
      <c r="P27" s="19" t="s">
        <v>237</v>
      </c>
      <c r="Q27" s="21">
        <f t="shared" ref="Q27:AB27" si="26">IF(ISNUMBER(Q26),IF(Q26&lt;Q$7, 1, 0), 0)</f>
        <v>1</v>
      </c>
      <c r="R27" s="21">
        <f t="shared" si="26"/>
        <v>0</v>
      </c>
      <c r="S27" s="21">
        <f t="shared" si="26"/>
        <v>0</v>
      </c>
      <c r="T27" s="21">
        <f t="shared" si="26"/>
        <v>0</v>
      </c>
      <c r="U27" s="21">
        <f t="shared" si="26"/>
        <v>1</v>
      </c>
      <c r="V27" s="21">
        <f t="shared" si="26"/>
        <v>0</v>
      </c>
      <c r="W27" s="21">
        <f t="shared" si="26"/>
        <v>1</v>
      </c>
      <c r="X27" s="21">
        <f t="shared" si="26"/>
        <v>1</v>
      </c>
      <c r="Y27" s="21">
        <f t="shared" si="26"/>
        <v>1</v>
      </c>
      <c r="Z27" s="21">
        <f t="shared" si="26"/>
        <v>1</v>
      </c>
      <c r="AA27" s="21">
        <f t="shared" si="26"/>
        <v>1</v>
      </c>
      <c r="AB27" s="21">
        <f t="shared" si="26"/>
        <v>1</v>
      </c>
      <c r="AC27" s="20"/>
      <c r="AD27" s="20"/>
      <c r="AE27" s="20"/>
      <c r="AF27" s="20"/>
      <c r="AG27" s="20"/>
      <c r="AH27" s="20"/>
    </row>
    <row r="28" ht="24.75" customHeight="1">
      <c r="A28" s="54"/>
      <c r="B28" s="55">
        <f>1+(ROW(B28)-ROW(B$13))/$A$12</f>
        <v>6</v>
      </c>
      <c r="C28" s="27">
        <f t="array" ref="C28">INDEX('Import git'!A$2:C$15,$B28,1)</f>
        <v>6</v>
      </c>
      <c r="D28" s="27" t="str">
        <f t="array" ref="D28">INDEX('Import git'!D$2:D$15,$B28)</f>
        <v>Momie</v>
      </c>
      <c r="E28" s="56">
        <f t="array" ref="E28">INDEX('Import git'!F$2:F$15,$B28)</f>
        <v>2</v>
      </c>
      <c r="F28" s="56" t="str">
        <f t="array" ref="F28">INDEX('Import git'!G$2:G$15,$B28)</f>
        <v>2-3</v>
      </c>
      <c r="G28" s="56">
        <f t="array" ref="G28">INDEX('Import git'!H$2:H$15,$B28)</f>
        <v>2</v>
      </c>
      <c r="H28" s="56">
        <f t="array" ref="H28">INDEX('Import git'!I$2:I$15,$B28)</f>
        <v>1</v>
      </c>
      <c r="I28" s="56">
        <f t="array" ref="I28">INDEX('Import git'!J$2:J$15,$B28)</f>
        <v>1</v>
      </c>
      <c r="J28" s="56">
        <f t="array" ref="J28">INDEX('Import git'!K$2:K$15,$B28)</f>
        <v>8</v>
      </c>
      <c r="K28" s="56">
        <f t="array" ref="K28">INDEX('Import git'!L$2:L$15,$B28)</f>
        <v>0</v>
      </c>
      <c r="L28" s="56" t="str">
        <f t="array" ref="L28">INDEX('Import git'!M$2:M$15,$B28)</f>
        <v/>
      </c>
      <c r="M28" s="32"/>
      <c r="N28" s="25">
        <f>G28+H28+I28+K28</f>
        <v>4</v>
      </c>
      <c r="O28" s="32"/>
      <c r="P28" s="58" t="s">
        <v>228</v>
      </c>
      <c r="Q28" s="27">
        <f t="shared" ref="Q28:AB28" si="27">CEILING(($J28-$K28)/(Q$5-$I28-$K28), 1)</f>
        <v>-8</v>
      </c>
      <c r="R28" s="27" t="str">
        <f t="shared" si="27"/>
        <v>#DIV/0!</v>
      </c>
      <c r="S28" s="27" t="str">
        <f t="shared" si="27"/>
        <v>#DIV/0!</v>
      </c>
      <c r="T28" s="27">
        <f t="shared" si="27"/>
        <v>8</v>
      </c>
      <c r="U28" s="27">
        <f t="shared" si="27"/>
        <v>4</v>
      </c>
      <c r="V28" s="27">
        <f t="shared" si="27"/>
        <v>8</v>
      </c>
      <c r="W28" s="27">
        <f t="shared" si="27"/>
        <v>3</v>
      </c>
      <c r="X28" s="27">
        <f t="shared" si="27"/>
        <v>3</v>
      </c>
      <c r="Y28" s="27">
        <f t="shared" si="27"/>
        <v>8</v>
      </c>
      <c r="Z28" s="27">
        <f t="shared" si="27"/>
        <v>4</v>
      </c>
      <c r="AA28" s="27">
        <f t="shared" si="27"/>
        <v>3</v>
      </c>
      <c r="AB28" s="27">
        <f t="shared" si="27"/>
        <v>2</v>
      </c>
      <c r="AC28" s="32"/>
      <c r="AD28" s="60" t="s">
        <v>249</v>
      </c>
      <c r="AE28" s="60" t="s">
        <v>250</v>
      </c>
      <c r="AF28" s="32"/>
      <c r="AG28" s="67" t="s">
        <v>251</v>
      </c>
      <c r="AH28" s="62" t="str">
        <f t="array" ref="AH28">INDEX('Import git'!P$2:P$15,$B28)</f>
        <v>&lt;u&gt;Mort-vivant&lt;/u&gt;: Encaisse 1 dégât supplémentaire si arme argentée&lt;br&gt;&lt;u&gt;Main de mort&lt;/u&gt;: Inflige 1 dégât automatique&lt;br&gt;&lt;u&gt;Malédiction&lt;/u&gt;: -1 permanent en attaque si vous arrivez à éliminer la carte (conservez-la)</v>
      </c>
    </row>
    <row r="29" ht="23.25" customHeight="1">
      <c r="A29" s="3"/>
      <c r="B29" s="3"/>
      <c r="E29" s="17"/>
      <c r="F29" s="17"/>
      <c r="G29" s="17"/>
      <c r="H29" s="17"/>
      <c r="I29" s="17"/>
      <c r="J29" s="17"/>
      <c r="K29" s="17"/>
      <c r="L29" s="17"/>
      <c r="N29" s="8"/>
      <c r="P29" s="9" t="s">
        <v>236</v>
      </c>
      <c r="Q29" s="10">
        <f t="shared" ref="Q29:AB29" si="28">Q28*MAX($H28,$G28-Q$6+$H28-Q$8)</f>
        <v>-24</v>
      </c>
      <c r="R29" s="10" t="str">
        <f t="shared" si="28"/>
        <v>#DIV/0!</v>
      </c>
      <c r="S29" s="10" t="str">
        <f t="shared" si="28"/>
        <v>#DIV/0!</v>
      </c>
      <c r="T29" s="10">
        <f t="shared" si="28"/>
        <v>24</v>
      </c>
      <c r="U29" s="10">
        <f t="shared" si="28"/>
        <v>12</v>
      </c>
      <c r="V29" s="10">
        <f t="shared" si="28"/>
        <v>16</v>
      </c>
      <c r="W29" s="10">
        <f t="shared" si="28"/>
        <v>9</v>
      </c>
      <c r="X29" s="10">
        <f t="shared" si="28"/>
        <v>3</v>
      </c>
      <c r="Y29" s="10">
        <f t="shared" si="28"/>
        <v>8</v>
      </c>
      <c r="Z29" s="10">
        <f t="shared" si="28"/>
        <v>4</v>
      </c>
      <c r="AA29" s="10">
        <f t="shared" si="28"/>
        <v>3</v>
      </c>
      <c r="AB29" s="10">
        <f t="shared" si="28"/>
        <v>2</v>
      </c>
    </row>
    <row r="30" ht="21.75" customHeight="1">
      <c r="A30" s="47"/>
      <c r="B30" s="47"/>
      <c r="C30" s="20"/>
      <c r="D30" s="20"/>
      <c r="E30" s="63"/>
      <c r="F30" s="63"/>
      <c r="G30" s="63"/>
      <c r="H30" s="63"/>
      <c r="I30" s="63"/>
      <c r="J30" s="63"/>
      <c r="K30" s="63"/>
      <c r="L30" s="63"/>
      <c r="M30" s="20"/>
      <c r="N30" s="64"/>
      <c r="O30" s="20"/>
      <c r="P30" s="19" t="s">
        <v>237</v>
      </c>
      <c r="Q30" s="21">
        <f t="shared" ref="Q30:AB30" si="29">IF(ISNUMBER(Q29),IF(Q29&lt;Q$7, 1, 0), 0)</f>
        <v>1</v>
      </c>
      <c r="R30" s="21">
        <f t="shared" si="29"/>
        <v>0</v>
      </c>
      <c r="S30" s="21">
        <f t="shared" si="29"/>
        <v>0</v>
      </c>
      <c r="T30" s="21">
        <f t="shared" si="29"/>
        <v>0</v>
      </c>
      <c r="U30" s="21">
        <f t="shared" si="29"/>
        <v>0</v>
      </c>
      <c r="V30" s="21">
        <f t="shared" si="29"/>
        <v>0</v>
      </c>
      <c r="W30" s="21">
        <f t="shared" si="29"/>
        <v>1</v>
      </c>
      <c r="X30" s="21">
        <f t="shared" si="29"/>
        <v>1</v>
      </c>
      <c r="Y30" s="21">
        <f t="shared" si="29"/>
        <v>1</v>
      </c>
      <c r="Z30" s="21">
        <f t="shared" si="29"/>
        <v>1</v>
      </c>
      <c r="AA30" s="21">
        <f t="shared" si="29"/>
        <v>1</v>
      </c>
      <c r="AB30" s="21">
        <f t="shared" si="29"/>
        <v>1</v>
      </c>
      <c r="AC30" s="20"/>
      <c r="AD30" s="20"/>
      <c r="AE30" s="20"/>
      <c r="AF30" s="20"/>
      <c r="AG30" s="20"/>
      <c r="AH30" s="20"/>
    </row>
    <row r="31">
      <c r="A31" s="54"/>
      <c r="B31" s="55">
        <f>1+(ROW(B31)-ROW(B$13))/$A$12</f>
        <v>7</v>
      </c>
      <c r="C31" s="27">
        <f t="array" ref="C31">INDEX('Import git'!A$2:C$15,$B31,1)</f>
        <v>7</v>
      </c>
      <c r="D31" s="27" t="str">
        <f t="array" ref="D31">INDEX('Import git'!D$2:D$15,$B31)</f>
        <v>Loup-Garou</v>
      </c>
      <c r="E31" s="56">
        <f t="array" ref="E31">INDEX('Import git'!F$2:F$15,$B31)</f>
        <v>3</v>
      </c>
      <c r="F31" s="56" t="str">
        <f t="array" ref="F31">INDEX('Import git'!G$2:G$15,$B31)</f>
        <v>3-4</v>
      </c>
      <c r="G31" s="56">
        <f t="array" ref="G31">INDEX('Import git'!H$2:H$15,$B31)</f>
        <v>4</v>
      </c>
      <c r="H31" s="56">
        <f t="array" ref="H31">INDEX('Import git'!I$2:I$15,$B31)</f>
        <v>0</v>
      </c>
      <c r="I31" s="56">
        <f t="array" ref="I31">INDEX('Import git'!J$2:J$15,$B31)</f>
        <v>2</v>
      </c>
      <c r="J31" s="56">
        <f t="array" ref="J31">INDEX('Import git'!K$2:K$15,$B31)</f>
        <v>8</v>
      </c>
      <c r="K31" s="56">
        <f t="array" ref="K31">INDEX('Import git'!L$2:L$15,$B31)</f>
        <v>1</v>
      </c>
      <c r="L31" s="56" t="str">
        <f t="array" ref="L31">INDEX('Import git'!M$2:M$15,$B31)</f>
        <v/>
      </c>
      <c r="M31" s="32"/>
      <c r="N31" s="25">
        <f>G31+H31+I31+K31</f>
        <v>7</v>
      </c>
      <c r="O31" s="32"/>
      <c r="P31" s="58" t="s">
        <v>228</v>
      </c>
      <c r="Q31" s="27">
        <f t="shared" ref="Q31:AB31" si="30">CEILING(($J31-$K31)/(Q$5-$I31-$K31), 1)</f>
        <v>-2</v>
      </c>
      <c r="R31" s="27">
        <f t="shared" si="30"/>
        <v>-3</v>
      </c>
      <c r="S31" s="27">
        <f t="shared" si="30"/>
        <v>-3</v>
      </c>
      <c r="T31" s="27">
        <f t="shared" si="30"/>
        <v>-7</v>
      </c>
      <c r="U31" s="27" t="str">
        <f t="shared" si="30"/>
        <v>#DIV/0!</v>
      </c>
      <c r="V31" s="27">
        <f t="shared" si="30"/>
        <v>-7</v>
      </c>
      <c r="W31" s="27">
        <f t="shared" si="30"/>
        <v>7</v>
      </c>
      <c r="X31" s="27">
        <f t="shared" si="30"/>
        <v>7</v>
      </c>
      <c r="Y31" s="27">
        <f t="shared" si="30"/>
        <v>-7</v>
      </c>
      <c r="Z31" s="27" t="str">
        <f t="shared" si="30"/>
        <v>#DIV/0!</v>
      </c>
      <c r="AA31" s="27">
        <f t="shared" si="30"/>
        <v>7</v>
      </c>
      <c r="AB31" s="27">
        <f t="shared" si="30"/>
        <v>4</v>
      </c>
      <c r="AC31" s="32"/>
      <c r="AD31" s="60" t="s">
        <v>252</v>
      </c>
      <c r="AE31" s="68"/>
      <c r="AF31" s="32"/>
      <c r="AG31" s="67" t="s">
        <v>253</v>
      </c>
      <c r="AH31" s="62" t="str">
        <f t="array" ref="AH31">INDEX('Import git'!P$2:P$15,$B31)</f>
        <v>&lt;u&gt;Lycanthrope&lt;/u&gt;: Encaisse 1 dégât supplémentaire si arme argentée</v>
      </c>
    </row>
    <row r="32" ht="18.75" customHeight="1">
      <c r="A32" s="3"/>
      <c r="B32" s="3"/>
      <c r="E32" s="17"/>
      <c r="F32" s="17"/>
      <c r="G32" s="17"/>
      <c r="H32" s="17"/>
      <c r="I32" s="17"/>
      <c r="J32" s="17"/>
      <c r="K32" s="17"/>
      <c r="L32" s="17"/>
      <c r="N32" s="8"/>
      <c r="P32" s="9" t="s">
        <v>236</v>
      </c>
      <c r="Q32" s="10">
        <f t="shared" ref="Q32:AB32" si="31">Q31*MAX($H31,$G31-Q$6+$H31-Q$8)</f>
        <v>-8</v>
      </c>
      <c r="R32" s="10">
        <f t="shared" si="31"/>
        <v>-12</v>
      </c>
      <c r="S32" s="10">
        <f t="shared" si="31"/>
        <v>-12</v>
      </c>
      <c r="T32" s="10">
        <f t="shared" si="31"/>
        <v>-28</v>
      </c>
      <c r="U32" s="10" t="str">
        <f t="shared" si="31"/>
        <v>#DIV/0!</v>
      </c>
      <c r="V32" s="10">
        <f t="shared" si="31"/>
        <v>-21</v>
      </c>
      <c r="W32" s="10">
        <f t="shared" si="31"/>
        <v>28</v>
      </c>
      <c r="X32" s="10">
        <f t="shared" si="31"/>
        <v>14</v>
      </c>
      <c r="Y32" s="10">
        <f t="shared" si="31"/>
        <v>-7</v>
      </c>
      <c r="Z32" s="10" t="str">
        <f t="shared" si="31"/>
        <v>#DIV/0!</v>
      </c>
      <c r="AA32" s="10">
        <f t="shared" si="31"/>
        <v>7</v>
      </c>
      <c r="AB32" s="10">
        <f t="shared" si="31"/>
        <v>0</v>
      </c>
    </row>
    <row r="33">
      <c r="A33" s="47"/>
      <c r="B33" s="47"/>
      <c r="C33" s="20"/>
      <c r="D33" s="20"/>
      <c r="E33" s="63"/>
      <c r="F33" s="63"/>
      <c r="G33" s="63"/>
      <c r="H33" s="63"/>
      <c r="I33" s="63"/>
      <c r="J33" s="63"/>
      <c r="K33" s="63"/>
      <c r="L33" s="63"/>
      <c r="M33" s="20"/>
      <c r="N33" s="64"/>
      <c r="O33" s="20"/>
      <c r="P33" s="19" t="s">
        <v>237</v>
      </c>
      <c r="Q33" s="21">
        <f t="shared" ref="Q33:AB33" si="32">IF(ISNUMBER(Q32),IF(Q32&lt;Q$7, 1, 0), 0)</f>
        <v>1</v>
      </c>
      <c r="R33" s="21">
        <f t="shared" si="32"/>
        <v>1</v>
      </c>
      <c r="S33" s="21">
        <f t="shared" si="32"/>
        <v>1</v>
      </c>
      <c r="T33" s="21">
        <f t="shared" si="32"/>
        <v>1</v>
      </c>
      <c r="U33" s="21">
        <f t="shared" si="32"/>
        <v>0</v>
      </c>
      <c r="V33" s="21">
        <f t="shared" si="32"/>
        <v>1</v>
      </c>
      <c r="W33" s="21">
        <f t="shared" si="32"/>
        <v>0</v>
      </c>
      <c r="X33" s="21">
        <f t="shared" si="32"/>
        <v>0</v>
      </c>
      <c r="Y33" s="21">
        <f t="shared" si="32"/>
        <v>1</v>
      </c>
      <c r="Z33" s="21">
        <f t="shared" si="32"/>
        <v>0</v>
      </c>
      <c r="AA33" s="21">
        <f t="shared" si="32"/>
        <v>1</v>
      </c>
      <c r="AB33" s="21">
        <f t="shared" si="32"/>
        <v>1</v>
      </c>
      <c r="AC33" s="20"/>
      <c r="AD33" s="20"/>
      <c r="AE33" s="20"/>
      <c r="AF33" s="20"/>
      <c r="AG33" s="20"/>
      <c r="AH33" s="20"/>
    </row>
    <row r="34" ht="18.0" customHeight="1">
      <c r="A34" s="54"/>
      <c r="B34" s="55">
        <f>1+(ROW(B34)-ROW(B$13))/$A$12</f>
        <v>8</v>
      </c>
      <c r="C34" s="27">
        <f t="array" ref="C34">INDEX('Import git'!A$2:C$15,$B34,1)</f>
        <v>8</v>
      </c>
      <c r="D34" s="27" t="str">
        <f t="array" ref="D34">INDEX('Import git'!D$2:D$15,$B34)</f>
        <v>Ogre</v>
      </c>
      <c r="E34" s="56">
        <f t="array" ref="E34">INDEX('Import git'!F$2:F$15,$B34)</f>
        <v>3</v>
      </c>
      <c r="F34" s="56" t="str">
        <f t="array" ref="F34">INDEX('Import git'!G$2:G$15,$B34)</f>
        <v>3-4</v>
      </c>
      <c r="G34" s="56">
        <f t="array" ref="G34">INDEX('Import git'!H$2:H$15,$B34)</f>
        <v>4</v>
      </c>
      <c r="H34" s="56">
        <f t="array" ref="H34">INDEX('Import git'!I$2:I$15,$B34)</f>
        <v>0</v>
      </c>
      <c r="I34" s="56">
        <f t="array" ref="I34">INDEX('Import git'!J$2:J$15,$B34)</f>
        <v>2</v>
      </c>
      <c r="J34" s="56">
        <f t="array" ref="J34">INDEX('Import git'!K$2:K$15,$B34)</f>
        <v>10</v>
      </c>
      <c r="K34" s="56">
        <f t="array" ref="K34">INDEX('Import git'!L$2:L$15,$B34)</f>
        <v>0</v>
      </c>
      <c r="L34" s="56" t="str">
        <f t="array" ref="L34">INDEX('Import git'!M$2:M$15,$B34)</f>
        <v>?</v>
      </c>
      <c r="M34" s="32"/>
      <c r="N34" s="25">
        <f>G34+H34+I34+K34</f>
        <v>6</v>
      </c>
      <c r="O34" s="32"/>
      <c r="P34" s="58" t="s">
        <v>228</v>
      </c>
      <c r="Q34" s="27">
        <f t="shared" ref="Q34:AB34" si="33">CEILING(($J34-$K34)/(Q$5-$I34-$K34), 1)</f>
        <v>-5</v>
      </c>
      <c r="R34" s="27">
        <f t="shared" si="33"/>
        <v>-10</v>
      </c>
      <c r="S34" s="27">
        <f t="shared" si="33"/>
        <v>-10</v>
      </c>
      <c r="T34" s="27" t="str">
        <f t="shared" si="33"/>
        <v>#DIV/0!</v>
      </c>
      <c r="U34" s="27">
        <f t="shared" si="33"/>
        <v>10</v>
      </c>
      <c r="V34" s="27" t="str">
        <f t="shared" si="33"/>
        <v>#DIV/0!</v>
      </c>
      <c r="W34" s="27">
        <f t="shared" si="33"/>
        <v>5</v>
      </c>
      <c r="X34" s="27">
        <f t="shared" si="33"/>
        <v>5</v>
      </c>
      <c r="Y34" s="27" t="str">
        <f t="shared" si="33"/>
        <v>#DIV/0!</v>
      </c>
      <c r="Z34" s="27">
        <f t="shared" si="33"/>
        <v>10</v>
      </c>
      <c r="AA34" s="27">
        <f t="shared" si="33"/>
        <v>5</v>
      </c>
      <c r="AB34" s="27">
        <f t="shared" si="33"/>
        <v>4</v>
      </c>
      <c r="AC34" s="32"/>
      <c r="AD34" s="60" t="s">
        <v>254</v>
      </c>
      <c r="AE34" s="68"/>
      <c r="AF34" s="32"/>
      <c r="AG34" s="61"/>
      <c r="AH34" s="62" t="str">
        <f t="array" ref="AH34">INDEX('Import git'!P$2:P$15,$B34)</f>
        <v/>
      </c>
    </row>
    <row r="35" ht="17.25" customHeight="1">
      <c r="A35" s="3"/>
      <c r="B35" s="3"/>
      <c r="E35" s="17"/>
      <c r="F35" s="17"/>
      <c r="G35" s="17"/>
      <c r="H35" s="17"/>
      <c r="I35" s="17"/>
      <c r="J35" s="17"/>
      <c r="K35" s="17"/>
      <c r="L35" s="17"/>
      <c r="N35" s="8"/>
      <c r="P35" s="9" t="s">
        <v>236</v>
      </c>
      <c r="Q35" s="10">
        <f t="shared" ref="Q35:AB35" si="34">Q34*MAX($H34,$G34-Q$6+$H34-Q$8)</f>
        <v>-20</v>
      </c>
      <c r="R35" s="10">
        <f t="shared" si="34"/>
        <v>-40</v>
      </c>
      <c r="S35" s="10">
        <f t="shared" si="34"/>
        <v>-40</v>
      </c>
      <c r="T35" s="10" t="str">
        <f t="shared" si="34"/>
        <v>#DIV/0!</v>
      </c>
      <c r="U35" s="10">
        <f t="shared" si="34"/>
        <v>40</v>
      </c>
      <c r="V35" s="10" t="str">
        <f t="shared" si="34"/>
        <v>#DIV/0!</v>
      </c>
      <c r="W35" s="10">
        <f t="shared" si="34"/>
        <v>20</v>
      </c>
      <c r="X35" s="10">
        <f t="shared" si="34"/>
        <v>10</v>
      </c>
      <c r="Y35" s="10" t="str">
        <f t="shared" si="34"/>
        <v>#DIV/0!</v>
      </c>
      <c r="Z35" s="10">
        <f t="shared" si="34"/>
        <v>10</v>
      </c>
      <c r="AA35" s="10">
        <f t="shared" si="34"/>
        <v>5</v>
      </c>
      <c r="AB35" s="10">
        <f t="shared" si="34"/>
        <v>0</v>
      </c>
    </row>
    <row r="36" ht="19.5" customHeight="1">
      <c r="A36" s="47"/>
      <c r="B36" s="47"/>
      <c r="C36" s="20"/>
      <c r="D36" s="20"/>
      <c r="E36" s="63"/>
      <c r="F36" s="63"/>
      <c r="G36" s="63"/>
      <c r="H36" s="63"/>
      <c r="I36" s="63"/>
      <c r="J36" s="63"/>
      <c r="K36" s="63"/>
      <c r="L36" s="63"/>
      <c r="M36" s="20"/>
      <c r="N36" s="64"/>
      <c r="O36" s="20"/>
      <c r="P36" s="19" t="s">
        <v>237</v>
      </c>
      <c r="Q36" s="21">
        <f t="shared" ref="Q36:AB36" si="35">IF(ISNUMBER(Q35),IF(Q35&lt;Q$7, 1, 0), 0)</f>
        <v>1</v>
      </c>
      <c r="R36" s="21">
        <f t="shared" si="35"/>
        <v>1</v>
      </c>
      <c r="S36" s="21">
        <f t="shared" si="35"/>
        <v>1</v>
      </c>
      <c r="T36" s="21">
        <f t="shared" si="35"/>
        <v>0</v>
      </c>
      <c r="U36" s="21">
        <f t="shared" si="35"/>
        <v>0</v>
      </c>
      <c r="V36" s="21">
        <f t="shared" si="35"/>
        <v>0</v>
      </c>
      <c r="W36" s="21">
        <f t="shared" si="35"/>
        <v>0</v>
      </c>
      <c r="X36" s="21">
        <f t="shared" si="35"/>
        <v>1</v>
      </c>
      <c r="Y36" s="21">
        <f t="shared" si="35"/>
        <v>0</v>
      </c>
      <c r="Z36" s="21">
        <f t="shared" si="35"/>
        <v>1</v>
      </c>
      <c r="AA36" s="21">
        <f t="shared" si="35"/>
        <v>1</v>
      </c>
      <c r="AB36" s="21">
        <f t="shared" si="35"/>
        <v>1</v>
      </c>
      <c r="AC36" s="20"/>
      <c r="AD36" s="20"/>
      <c r="AE36" s="20"/>
      <c r="AF36" s="20"/>
      <c r="AG36" s="20"/>
      <c r="AH36" s="20"/>
    </row>
    <row r="37" ht="15.75" customHeight="1">
      <c r="A37" s="54"/>
      <c r="B37" s="55">
        <f>1+(ROW(B37)-ROW(B$13))/$A$12</f>
        <v>9</v>
      </c>
      <c r="C37" s="27">
        <f t="array" ref="C37">INDEX('Import git'!A$2:C$15,$B37,1)</f>
        <v>9</v>
      </c>
      <c r="D37" s="27" t="str">
        <f t="array" ref="D37">INDEX('Import git'!D$2:D$15,$B37)</f>
        <v>Sorcière</v>
      </c>
      <c r="E37" s="56">
        <f t="array" ref="E37">INDEX('Import git'!F$2:F$15,$B37)</f>
        <v>4</v>
      </c>
      <c r="F37" s="56" t="str">
        <f t="array" ref="F37">INDEX('Import git'!G$2:G$15,$B37)</f>
        <v>4-5</v>
      </c>
      <c r="G37" s="56">
        <f t="array" ref="G37">INDEX('Import git'!H$2:H$15,$B37)</f>
        <v>2</v>
      </c>
      <c r="H37" s="56">
        <f t="array" ref="H37">INDEX('Import git'!I$2:I$15,$B37)</f>
        <v>0</v>
      </c>
      <c r="I37" s="56">
        <f t="array" ref="I37">INDEX('Import git'!J$2:J$15,$B37)</f>
        <v>0</v>
      </c>
      <c r="J37" s="56">
        <f t="array" ref="J37">INDEX('Import git'!K$2:K$15,$B37)</f>
        <v>6</v>
      </c>
      <c r="K37" s="56">
        <f t="array" ref="K37">INDEX('Import git'!L$2:L$15,$B37)</f>
        <v>0</v>
      </c>
      <c r="L37" s="56" t="str">
        <f t="array" ref="L37">INDEX('Import git'!M$2:M$15,$B37)</f>
        <v>X</v>
      </c>
      <c r="M37" s="32"/>
      <c r="N37" s="25">
        <f>G37+H37+I37+K37</f>
        <v>2</v>
      </c>
      <c r="O37" s="32"/>
      <c r="P37" s="58" t="s">
        <v>228</v>
      </c>
      <c r="Q37" s="27" t="str">
        <f t="shared" ref="Q37:AB37" si="36">CEILING(($J37-$K37)/(Q$5-$I37-$K37), 1)</f>
        <v>#DIV/0!</v>
      </c>
      <c r="R37" s="27">
        <f t="shared" si="36"/>
        <v>6</v>
      </c>
      <c r="S37" s="27">
        <f t="shared" si="36"/>
        <v>6</v>
      </c>
      <c r="T37" s="27">
        <f t="shared" si="36"/>
        <v>3</v>
      </c>
      <c r="U37" s="27">
        <f t="shared" si="36"/>
        <v>2</v>
      </c>
      <c r="V37" s="27">
        <f t="shared" si="36"/>
        <v>3</v>
      </c>
      <c r="W37" s="27">
        <f t="shared" si="36"/>
        <v>2</v>
      </c>
      <c r="X37" s="27">
        <f t="shared" si="36"/>
        <v>2</v>
      </c>
      <c r="Y37" s="27">
        <f t="shared" si="36"/>
        <v>3</v>
      </c>
      <c r="Z37" s="27">
        <f t="shared" si="36"/>
        <v>2</v>
      </c>
      <c r="AA37" s="27">
        <f t="shared" si="36"/>
        <v>2</v>
      </c>
      <c r="AB37" s="27">
        <f t="shared" si="36"/>
        <v>2</v>
      </c>
      <c r="AC37" s="32"/>
      <c r="AD37" s="60" t="s">
        <v>255</v>
      </c>
      <c r="AE37" s="60" t="s">
        <v>256</v>
      </c>
      <c r="AF37" s="32"/>
      <c r="AG37" s="67" t="s">
        <v>109</v>
      </c>
      <c r="AH37" s="62" t="str">
        <f t="array" ref="AH37">INDEX('Import git'!P$2:P$15,$B37)</f>
        <v>&lt;u&gt;Désintégration&lt;/u&gt;: Détruit 2 objets que vous transportez (choisis au hasard)&lt;br&gt;&lt;u&gt;Trésor&lt;/u&gt;: Potion de soin (+3 PV, usage unique), conservez cette carte après l'avoir éliminée</v>
      </c>
    </row>
    <row r="38" ht="16.5" customHeight="1">
      <c r="A38" s="3"/>
      <c r="B38" s="3"/>
      <c r="E38" s="17"/>
      <c r="F38" s="17"/>
      <c r="G38" s="17"/>
      <c r="H38" s="17"/>
      <c r="I38" s="17"/>
      <c r="J38" s="17"/>
      <c r="K38" s="17"/>
      <c r="L38" s="17"/>
      <c r="N38" s="8"/>
      <c r="P38" s="9" t="s">
        <v>236</v>
      </c>
      <c r="Q38" s="10" t="str">
        <f t="shared" ref="Q38:AB38" si="37">Q37*MAX($H37,$G37-Q$6+$H37-Q$8)</f>
        <v>#DIV/0!</v>
      </c>
      <c r="R38" s="10">
        <f t="shared" si="37"/>
        <v>12</v>
      </c>
      <c r="S38" s="10">
        <f t="shared" si="37"/>
        <v>12</v>
      </c>
      <c r="T38" s="10">
        <f t="shared" si="37"/>
        <v>6</v>
      </c>
      <c r="U38" s="10">
        <f t="shared" si="37"/>
        <v>4</v>
      </c>
      <c r="V38" s="10">
        <f t="shared" si="37"/>
        <v>3</v>
      </c>
      <c r="W38" s="10">
        <f t="shared" si="37"/>
        <v>4</v>
      </c>
      <c r="X38" s="10">
        <f t="shared" si="37"/>
        <v>0</v>
      </c>
      <c r="Y38" s="10">
        <f t="shared" si="37"/>
        <v>0</v>
      </c>
      <c r="Z38" s="10">
        <f t="shared" si="37"/>
        <v>0</v>
      </c>
      <c r="AA38" s="10">
        <f t="shared" si="37"/>
        <v>0</v>
      </c>
      <c r="AB38" s="10">
        <f t="shared" si="37"/>
        <v>0</v>
      </c>
    </row>
    <row r="39">
      <c r="A39" s="47"/>
      <c r="B39" s="47"/>
      <c r="C39" s="20"/>
      <c r="D39" s="20"/>
      <c r="E39" s="63"/>
      <c r="F39" s="63"/>
      <c r="G39" s="63"/>
      <c r="H39" s="63"/>
      <c r="I39" s="63"/>
      <c r="J39" s="63"/>
      <c r="K39" s="63"/>
      <c r="L39" s="63"/>
      <c r="M39" s="20"/>
      <c r="N39" s="64"/>
      <c r="O39" s="20"/>
      <c r="P39" s="19" t="s">
        <v>237</v>
      </c>
      <c r="Q39" s="21">
        <f t="shared" ref="Q39:AB39" si="38">IF(ISNUMBER(Q38),IF(Q38&lt;Q$7, 1, 0), 0)</f>
        <v>0</v>
      </c>
      <c r="R39" s="21">
        <f t="shared" si="38"/>
        <v>0</v>
      </c>
      <c r="S39" s="21">
        <f t="shared" si="38"/>
        <v>0</v>
      </c>
      <c r="T39" s="21">
        <f t="shared" si="38"/>
        <v>1</v>
      </c>
      <c r="U39" s="21">
        <f t="shared" si="38"/>
        <v>1</v>
      </c>
      <c r="V39" s="21">
        <f t="shared" si="38"/>
        <v>1</v>
      </c>
      <c r="W39" s="21">
        <f t="shared" si="38"/>
        <v>1</v>
      </c>
      <c r="X39" s="21">
        <f t="shared" si="38"/>
        <v>1</v>
      </c>
      <c r="Y39" s="21">
        <f t="shared" si="38"/>
        <v>1</v>
      </c>
      <c r="Z39" s="21">
        <f t="shared" si="38"/>
        <v>1</v>
      </c>
      <c r="AA39" s="21">
        <f t="shared" si="38"/>
        <v>1</v>
      </c>
      <c r="AB39" s="21">
        <f t="shared" si="38"/>
        <v>1</v>
      </c>
      <c r="AC39" s="20"/>
      <c r="AD39" s="20"/>
      <c r="AE39" s="20"/>
      <c r="AF39" s="20"/>
      <c r="AG39" s="20"/>
      <c r="AH39" s="20"/>
    </row>
    <row r="40">
      <c r="A40" s="54"/>
      <c r="B40" s="55">
        <f>1+(ROW(B40)-ROW(B$13))/$A$12</f>
        <v>10</v>
      </c>
      <c r="C40" s="27">
        <f t="array" ref="C40">INDEX('Import git'!A$2:C$15,$B40,1)</f>
        <v>10</v>
      </c>
      <c r="D40" s="27" t="str">
        <f t="array" ref="D40">INDEX('Import git'!D$2:D$15,$B40)</f>
        <v>Spectre</v>
      </c>
      <c r="E40" s="56">
        <f t="array" ref="E40">INDEX('Import git'!F$2:F$15,$B40)</f>
        <v>4</v>
      </c>
      <c r="F40" s="56" t="str">
        <f t="array" ref="F40">INDEX('Import git'!G$2:G$15,$B40)</f>
        <v>4-5</v>
      </c>
      <c r="G40" s="56">
        <f t="array" ref="G40">INDEX('Import git'!H$2:H$15,$B40)</f>
        <v>0</v>
      </c>
      <c r="H40" s="56">
        <f t="array" ref="H40">INDEX('Import git'!I$2:I$15,$B40)</f>
        <v>2</v>
      </c>
      <c r="I40" s="56" t="str">
        <f t="array" ref="I40">INDEX('Import git'!J$2:J$15,$B40)</f>
        <v>sp</v>
      </c>
      <c r="J40" s="56">
        <f t="array" ref="J40">INDEX('Import git'!K$2:K$15,$B40)</f>
        <v>5</v>
      </c>
      <c r="K40" s="56">
        <f t="array" ref="K40">INDEX('Import git'!L$2:L$15,$B40)</f>
        <v>0</v>
      </c>
      <c r="L40" s="56" t="str">
        <f t="array" ref="L40">INDEX('Import git'!M$2:M$15,$B40)</f>
        <v/>
      </c>
      <c r="M40" s="32"/>
      <c r="N40" s="25" t="str">
        <f>G40+H40+I40+K40</f>
        <v>#VALUE!</v>
      </c>
      <c r="O40" s="32"/>
      <c r="P40" s="58" t="s">
        <v>228</v>
      </c>
      <c r="Q40" s="27" t="str">
        <f t="shared" ref="Q40:AB40" si="39">CEILING(($J40-$K40)/(Q$5-$I40-$K40), 1)</f>
        <v>#VALUE!</v>
      </c>
      <c r="R40" s="27" t="str">
        <f t="shared" si="39"/>
        <v>#VALUE!</v>
      </c>
      <c r="S40" s="27" t="str">
        <f t="shared" si="39"/>
        <v>#VALUE!</v>
      </c>
      <c r="T40" s="27" t="str">
        <f t="shared" si="39"/>
        <v>#VALUE!</v>
      </c>
      <c r="U40" s="27" t="str">
        <f t="shared" si="39"/>
        <v>#VALUE!</v>
      </c>
      <c r="V40" s="27" t="str">
        <f t="shared" si="39"/>
        <v>#VALUE!</v>
      </c>
      <c r="W40" s="27" t="str">
        <f t="shared" si="39"/>
        <v>#VALUE!</v>
      </c>
      <c r="X40" s="27" t="str">
        <f t="shared" si="39"/>
        <v>#VALUE!</v>
      </c>
      <c r="Y40" s="27" t="str">
        <f t="shared" si="39"/>
        <v>#VALUE!</v>
      </c>
      <c r="Z40" s="27" t="str">
        <f t="shared" si="39"/>
        <v>#VALUE!</v>
      </c>
      <c r="AA40" s="27" t="str">
        <f t="shared" si="39"/>
        <v>#VALUE!</v>
      </c>
      <c r="AB40" s="27" t="str">
        <f t="shared" si="39"/>
        <v>#VALUE!</v>
      </c>
      <c r="AC40" s="32"/>
      <c r="AD40" s="60" t="s">
        <v>257</v>
      </c>
      <c r="AE40" s="60" t="s">
        <v>258</v>
      </c>
      <c r="AF40" s="32"/>
      <c r="AG40" s="67" t="s">
        <v>259</v>
      </c>
      <c r="AH40" s="62" t="str">
        <f t="array" ref="AH40">INDEX('Import git'!P$2:P$15,$B40)</f>
        <v>&lt;u&gt;Mort-vivant, immatériel&lt;/u&gt;: Encaisse 1 dégât, uniquement si arme argentée&lt;br&gt;&lt;u&gt;Toucher spectral&lt;/u&gt;: Inflige 2 dégâts automatiques&lt;br&gt;&lt;u&gt;Malédiction&lt;/u&gt;: -1 permanent en défense si vous arrivez à éliminer la carte, conservez cette carte après l'avoir éliminée</v>
      </c>
    </row>
    <row r="41">
      <c r="A41" s="3"/>
      <c r="B41" s="3"/>
      <c r="E41" s="17"/>
      <c r="F41" s="17"/>
      <c r="G41" s="17"/>
      <c r="H41" s="17"/>
      <c r="I41" s="17"/>
      <c r="J41" s="17"/>
      <c r="K41" s="17"/>
      <c r="L41" s="17"/>
      <c r="N41" s="8"/>
      <c r="P41" s="9" t="s">
        <v>236</v>
      </c>
      <c r="Q41" s="10" t="str">
        <f t="shared" ref="Q41:AB41" si="40">Q40*MAX($H40,$G40-Q$6+$H40-Q$8)</f>
        <v>#VALUE!</v>
      </c>
      <c r="R41" s="10" t="str">
        <f t="shared" si="40"/>
        <v>#VALUE!</v>
      </c>
      <c r="S41" s="10" t="str">
        <f t="shared" si="40"/>
        <v>#VALUE!</v>
      </c>
      <c r="T41" s="10" t="str">
        <f t="shared" si="40"/>
        <v>#VALUE!</v>
      </c>
      <c r="U41" s="10" t="str">
        <f t="shared" si="40"/>
        <v>#VALUE!</v>
      </c>
      <c r="V41" s="10" t="str">
        <f t="shared" si="40"/>
        <v>#VALUE!</v>
      </c>
      <c r="W41" s="10" t="str">
        <f t="shared" si="40"/>
        <v>#VALUE!</v>
      </c>
      <c r="X41" s="10" t="str">
        <f t="shared" si="40"/>
        <v>#VALUE!</v>
      </c>
      <c r="Y41" s="10" t="str">
        <f t="shared" si="40"/>
        <v>#VALUE!</v>
      </c>
      <c r="Z41" s="10" t="str">
        <f t="shared" si="40"/>
        <v>#VALUE!</v>
      </c>
      <c r="AA41" s="10" t="str">
        <f t="shared" si="40"/>
        <v>#VALUE!</v>
      </c>
      <c r="AB41" s="10" t="str">
        <f t="shared" si="40"/>
        <v>#VALUE!</v>
      </c>
    </row>
    <row r="42">
      <c r="A42" s="47"/>
      <c r="B42" s="47"/>
      <c r="C42" s="20"/>
      <c r="D42" s="20"/>
      <c r="E42" s="63"/>
      <c r="F42" s="63"/>
      <c r="G42" s="63"/>
      <c r="H42" s="63"/>
      <c r="I42" s="63"/>
      <c r="J42" s="63"/>
      <c r="K42" s="63"/>
      <c r="L42" s="63"/>
      <c r="M42" s="20"/>
      <c r="N42" s="64"/>
      <c r="O42" s="20"/>
      <c r="P42" s="19" t="s">
        <v>237</v>
      </c>
      <c r="Q42" s="21">
        <f t="shared" ref="Q42:AB42" si="41">IF(ISNUMBER(Q41),IF(Q41&lt;Q$7, 1, 0), 0)</f>
        <v>0</v>
      </c>
      <c r="R42" s="21">
        <f t="shared" si="41"/>
        <v>0</v>
      </c>
      <c r="S42" s="21">
        <f t="shared" si="41"/>
        <v>0</v>
      </c>
      <c r="T42" s="21">
        <f t="shared" si="41"/>
        <v>0</v>
      </c>
      <c r="U42" s="21">
        <f t="shared" si="41"/>
        <v>0</v>
      </c>
      <c r="V42" s="21">
        <f t="shared" si="41"/>
        <v>0</v>
      </c>
      <c r="W42" s="21">
        <f t="shared" si="41"/>
        <v>0</v>
      </c>
      <c r="X42" s="21">
        <f t="shared" si="41"/>
        <v>0</v>
      </c>
      <c r="Y42" s="21">
        <f t="shared" si="41"/>
        <v>0</v>
      </c>
      <c r="Z42" s="21">
        <f t="shared" si="41"/>
        <v>0</v>
      </c>
      <c r="AA42" s="21">
        <f t="shared" si="41"/>
        <v>0</v>
      </c>
      <c r="AB42" s="21">
        <f t="shared" si="41"/>
        <v>0</v>
      </c>
      <c r="AC42" s="20"/>
      <c r="AD42" s="20"/>
      <c r="AE42" s="20"/>
      <c r="AF42" s="20"/>
      <c r="AG42" s="20"/>
      <c r="AH42" s="20"/>
    </row>
    <row r="43" ht="17.25" customHeight="1">
      <c r="A43" s="54"/>
      <c r="B43" s="55">
        <f>1+(ROW(B43)-ROW(B$13))/$A$12</f>
        <v>11</v>
      </c>
      <c r="C43" s="27">
        <f t="array" ref="C43">INDEX('Import git'!A$2:C$15,$B43,1)</f>
        <v>11</v>
      </c>
      <c r="D43" s="27" t="str">
        <f t="array" ref="D43">INDEX('Import git'!D$2:D$15,$B43)</f>
        <v>Chevalier du chaos</v>
      </c>
      <c r="E43" s="56">
        <f t="array" ref="E43">INDEX('Import git'!F$2:F$15,$B43)</f>
        <v>6</v>
      </c>
      <c r="F43" s="56" t="str">
        <f t="array" ref="F43">INDEX('Import git'!G$2:G$15,$B43)</f>
        <v>6</v>
      </c>
      <c r="G43" s="56">
        <f t="array" ref="G43">INDEX('Import git'!H$2:H$15,$B43)</f>
        <v>5</v>
      </c>
      <c r="H43" s="56">
        <f t="array" ref="H43">INDEX('Import git'!I$2:I$15,$B43)</f>
        <v>0</v>
      </c>
      <c r="I43" s="56">
        <f t="array" ref="I43">INDEX('Import git'!J$2:J$15,$B43)</f>
        <v>2</v>
      </c>
      <c r="J43" s="56">
        <f t="array" ref="J43">INDEX('Import git'!K$2:K$15,$B43)</f>
        <v>8</v>
      </c>
      <c r="K43" s="56">
        <f t="array" ref="K43">INDEX('Import git'!L$2:L$15,$B43)</f>
        <v>0</v>
      </c>
      <c r="L43" s="56" t="str">
        <f t="array" ref="L43">INDEX('Import git'!M$2:M$15,$B43)</f>
        <v>X</v>
      </c>
      <c r="M43" s="32"/>
      <c r="N43" s="25">
        <f>G43+H43+I43+K43</f>
        <v>7</v>
      </c>
      <c r="O43" s="32"/>
      <c r="P43" s="58" t="s">
        <v>228</v>
      </c>
      <c r="Q43" s="27">
        <f t="shared" ref="Q43:AB43" si="42">CEILING(($J43-$K43)/(Q$5-$I43-$K43), 1)</f>
        <v>-4</v>
      </c>
      <c r="R43" s="27">
        <f t="shared" si="42"/>
        <v>-8</v>
      </c>
      <c r="S43" s="27">
        <f t="shared" si="42"/>
        <v>-8</v>
      </c>
      <c r="T43" s="27" t="str">
        <f t="shared" si="42"/>
        <v>#DIV/0!</v>
      </c>
      <c r="U43" s="27">
        <f t="shared" si="42"/>
        <v>8</v>
      </c>
      <c r="V43" s="27" t="str">
        <f t="shared" si="42"/>
        <v>#DIV/0!</v>
      </c>
      <c r="W43" s="27">
        <f t="shared" si="42"/>
        <v>4</v>
      </c>
      <c r="X43" s="27">
        <f t="shared" si="42"/>
        <v>4</v>
      </c>
      <c r="Y43" s="27" t="str">
        <f t="shared" si="42"/>
        <v>#DIV/0!</v>
      </c>
      <c r="Z43" s="27">
        <f t="shared" si="42"/>
        <v>8</v>
      </c>
      <c r="AA43" s="27">
        <f t="shared" si="42"/>
        <v>4</v>
      </c>
      <c r="AB43" s="27">
        <f t="shared" si="42"/>
        <v>3</v>
      </c>
      <c r="AC43" s="32"/>
      <c r="AD43" s="60" t="s">
        <v>260</v>
      </c>
      <c r="AE43" s="68"/>
      <c r="AF43" s="32"/>
      <c r="AG43" s="67" t="s">
        <v>261</v>
      </c>
      <c r="AH43" s="62" t="str">
        <f t="array" ref="AH43">INDEX('Import git'!P$2:P$15,$B43)</f>
        <v>&lt;u&gt;Trésor&lt;/u&gt;: Épée démoniaque (+1 en attaque), conservez cette carte après l'avoir éliminée</v>
      </c>
    </row>
    <row r="44" ht="17.25" customHeight="1">
      <c r="A44" s="3"/>
      <c r="B44" s="3"/>
      <c r="E44" s="17"/>
      <c r="F44" s="17"/>
      <c r="G44" s="17"/>
      <c r="H44" s="17"/>
      <c r="I44" s="17"/>
      <c r="J44" s="17"/>
      <c r="K44" s="17"/>
      <c r="L44" s="17"/>
      <c r="N44" s="8"/>
      <c r="P44" s="9" t="s">
        <v>236</v>
      </c>
      <c r="Q44" s="10">
        <f t="shared" ref="Q44:AB44" si="43">Q43*MAX($H43,$G43-Q$6+$H43-Q$8)</f>
        <v>-20</v>
      </c>
      <c r="R44" s="10">
        <f t="shared" si="43"/>
        <v>-40</v>
      </c>
      <c r="S44" s="10">
        <f t="shared" si="43"/>
        <v>-40</v>
      </c>
      <c r="T44" s="10" t="str">
        <f t="shared" si="43"/>
        <v>#DIV/0!</v>
      </c>
      <c r="U44" s="10">
        <f t="shared" si="43"/>
        <v>40</v>
      </c>
      <c r="V44" s="10" t="str">
        <f t="shared" si="43"/>
        <v>#DIV/0!</v>
      </c>
      <c r="W44" s="10">
        <f t="shared" si="43"/>
        <v>20</v>
      </c>
      <c r="X44" s="10">
        <f t="shared" si="43"/>
        <v>12</v>
      </c>
      <c r="Y44" s="10" t="str">
        <f t="shared" si="43"/>
        <v>#DIV/0!</v>
      </c>
      <c r="Z44" s="10">
        <f t="shared" si="43"/>
        <v>16</v>
      </c>
      <c r="AA44" s="10">
        <f t="shared" si="43"/>
        <v>8</v>
      </c>
      <c r="AB44" s="10">
        <f t="shared" si="43"/>
        <v>0</v>
      </c>
    </row>
    <row r="45" ht="16.5" customHeight="1">
      <c r="A45" s="47"/>
      <c r="B45" s="47"/>
      <c r="C45" s="20"/>
      <c r="D45" s="20"/>
      <c r="E45" s="63"/>
      <c r="F45" s="63"/>
      <c r="G45" s="63"/>
      <c r="H45" s="63"/>
      <c r="I45" s="63"/>
      <c r="J45" s="63"/>
      <c r="K45" s="63"/>
      <c r="L45" s="63"/>
      <c r="M45" s="20"/>
      <c r="N45" s="64"/>
      <c r="O45" s="20"/>
      <c r="P45" s="19" t="s">
        <v>237</v>
      </c>
      <c r="Q45" s="21">
        <f t="shared" ref="Q45:AB45" si="44">IF(ISNUMBER(Q44),IF(Q44&lt;Q$7, 1, 0), 0)</f>
        <v>1</v>
      </c>
      <c r="R45" s="21">
        <f t="shared" si="44"/>
        <v>1</v>
      </c>
      <c r="S45" s="21">
        <f t="shared" si="44"/>
        <v>1</v>
      </c>
      <c r="T45" s="21">
        <f t="shared" si="44"/>
        <v>0</v>
      </c>
      <c r="U45" s="21">
        <f t="shared" si="44"/>
        <v>0</v>
      </c>
      <c r="V45" s="21">
        <f t="shared" si="44"/>
        <v>0</v>
      </c>
      <c r="W45" s="21">
        <f t="shared" si="44"/>
        <v>0</v>
      </c>
      <c r="X45" s="21">
        <f t="shared" si="44"/>
        <v>0</v>
      </c>
      <c r="Y45" s="21">
        <f t="shared" si="44"/>
        <v>0</v>
      </c>
      <c r="Z45" s="21">
        <f t="shared" si="44"/>
        <v>0</v>
      </c>
      <c r="AA45" s="21">
        <f t="shared" si="44"/>
        <v>1</v>
      </c>
      <c r="AB45" s="21">
        <f t="shared" si="44"/>
        <v>1</v>
      </c>
      <c r="AC45" s="20"/>
      <c r="AD45" s="20"/>
      <c r="AE45" s="20"/>
      <c r="AF45" s="20"/>
      <c r="AG45" s="20"/>
      <c r="AH45" s="20"/>
    </row>
    <row r="46">
      <c r="A46" s="54"/>
      <c r="B46" s="55">
        <f>1+(ROW(B46)-ROW(B$13))/$A$12</f>
        <v>12</v>
      </c>
      <c r="C46" s="27">
        <f t="array" ref="C46">INDEX('Import git'!A$2:C$15,$B46,1)</f>
        <v>12</v>
      </c>
      <c r="D46" s="27" t="str">
        <f t="array" ref="D46">INDEX('Import git'!D$2:D$15,$B46)</f>
        <v>Golem</v>
      </c>
      <c r="E46" s="56">
        <f t="array" ref="E46">INDEX('Import git'!F$2:F$15,$B46)</f>
        <v>6</v>
      </c>
      <c r="F46" s="56" t="str">
        <f t="array" ref="F46">INDEX('Import git'!G$2:G$15,$B46)</f>
        <v>6</v>
      </c>
      <c r="G46" s="56">
        <f t="array" ref="G46">INDEX('Import git'!H$2:H$15,$B46)</f>
        <v>5</v>
      </c>
      <c r="H46" s="56">
        <f t="array" ref="H46">INDEX('Import git'!I$2:I$15,$B46)</f>
        <v>0</v>
      </c>
      <c r="I46" s="56">
        <f t="array" ref="I46">INDEX('Import git'!J$2:J$15,$B46)</f>
        <v>3</v>
      </c>
      <c r="J46" s="56">
        <f t="array" ref="J46">INDEX('Import git'!K$2:K$15,$B46)</f>
        <v>12</v>
      </c>
      <c r="K46" s="56">
        <f t="array" ref="K46">INDEX('Import git'!L$2:L$15,$B46)</f>
        <v>2</v>
      </c>
      <c r="L46" s="56" t="str">
        <f t="array" ref="L46">INDEX('Import git'!M$2:M$15,$B46)</f>
        <v>?</v>
      </c>
      <c r="M46" s="32"/>
      <c r="N46" s="25">
        <f>G46+H46+I46+K46</f>
        <v>10</v>
      </c>
      <c r="O46" s="32"/>
      <c r="P46" s="58" t="s">
        <v>228</v>
      </c>
      <c r="Q46" s="27">
        <f t="shared" ref="Q46:AB46" si="45">CEILING(($J46-$K46)/(Q$5-$I46-$K46), 1)</f>
        <v>-2</v>
      </c>
      <c r="R46" s="27">
        <f t="shared" si="45"/>
        <v>-2</v>
      </c>
      <c r="S46" s="27">
        <f t="shared" si="45"/>
        <v>-2</v>
      </c>
      <c r="T46" s="27">
        <f t="shared" si="45"/>
        <v>-3</v>
      </c>
      <c r="U46" s="27">
        <f t="shared" si="45"/>
        <v>-5</v>
      </c>
      <c r="V46" s="27">
        <f t="shared" si="45"/>
        <v>-3</v>
      </c>
      <c r="W46" s="27">
        <f t="shared" si="45"/>
        <v>-10</v>
      </c>
      <c r="X46" s="27">
        <f t="shared" si="45"/>
        <v>-10</v>
      </c>
      <c r="Y46" s="27">
        <f t="shared" si="45"/>
        <v>-3</v>
      </c>
      <c r="Z46" s="27">
        <f t="shared" si="45"/>
        <v>-5</v>
      </c>
      <c r="AA46" s="27">
        <f t="shared" si="45"/>
        <v>-10</v>
      </c>
      <c r="AB46" s="27" t="str">
        <f t="shared" si="45"/>
        <v>#DIV/0!</v>
      </c>
      <c r="AC46" s="32"/>
      <c r="AD46" s="68"/>
      <c r="AE46" s="68"/>
      <c r="AF46" s="32"/>
      <c r="AG46" s="61"/>
      <c r="AH46" s="62" t="str">
        <f t="array" ref="AH46">INDEX('Import git'!P$2:P$15,$B46)</f>
        <v/>
      </c>
    </row>
    <row r="47">
      <c r="A47" s="3"/>
      <c r="B47" s="3"/>
      <c r="E47" s="17"/>
      <c r="F47" s="17"/>
      <c r="G47" s="17"/>
      <c r="H47" s="17"/>
      <c r="I47" s="17"/>
      <c r="J47" s="17"/>
      <c r="K47" s="17"/>
      <c r="L47" s="17"/>
      <c r="N47" s="8"/>
      <c r="P47" s="9" t="s">
        <v>236</v>
      </c>
      <c r="Q47" s="10">
        <f t="shared" ref="Q47:AB47" si="46">Q46*MAX($H46,$G46-Q$6+$H46-Q$8)</f>
        <v>-10</v>
      </c>
      <c r="R47" s="10">
        <f t="shared" si="46"/>
        <v>-10</v>
      </c>
      <c r="S47" s="10">
        <f t="shared" si="46"/>
        <v>-10</v>
      </c>
      <c r="T47" s="10">
        <f t="shared" si="46"/>
        <v>-15</v>
      </c>
      <c r="U47" s="10">
        <f t="shared" si="46"/>
        <v>-25</v>
      </c>
      <c r="V47" s="10">
        <f t="shared" si="46"/>
        <v>-12</v>
      </c>
      <c r="W47" s="10">
        <f t="shared" si="46"/>
        <v>-50</v>
      </c>
      <c r="X47" s="10">
        <f t="shared" si="46"/>
        <v>-30</v>
      </c>
      <c r="Y47" s="10">
        <f t="shared" si="46"/>
        <v>-6</v>
      </c>
      <c r="Z47" s="10">
        <f t="shared" si="46"/>
        <v>-10</v>
      </c>
      <c r="AA47" s="10">
        <f t="shared" si="46"/>
        <v>-20</v>
      </c>
      <c r="AB47" s="10" t="str">
        <f t="shared" si="46"/>
        <v>#DIV/0!</v>
      </c>
    </row>
    <row r="48">
      <c r="A48" s="47"/>
      <c r="B48" s="47"/>
      <c r="C48" s="20"/>
      <c r="D48" s="20"/>
      <c r="E48" s="63"/>
      <c r="F48" s="63"/>
      <c r="G48" s="63"/>
      <c r="H48" s="63"/>
      <c r="I48" s="63"/>
      <c r="J48" s="63"/>
      <c r="K48" s="63"/>
      <c r="L48" s="63"/>
      <c r="M48" s="20"/>
      <c r="N48" s="64"/>
      <c r="O48" s="20"/>
      <c r="P48" s="19" t="s">
        <v>237</v>
      </c>
      <c r="Q48" s="21">
        <f t="shared" ref="Q48:AB48" si="47">IF(ISNUMBER(Q47),IF(Q47&lt;Q$7, 1, 0), 0)</f>
        <v>1</v>
      </c>
      <c r="R48" s="21">
        <f t="shared" si="47"/>
        <v>1</v>
      </c>
      <c r="S48" s="21">
        <f t="shared" si="47"/>
        <v>1</v>
      </c>
      <c r="T48" s="21">
        <f t="shared" si="47"/>
        <v>1</v>
      </c>
      <c r="U48" s="21">
        <f t="shared" si="47"/>
        <v>1</v>
      </c>
      <c r="V48" s="21">
        <f t="shared" si="47"/>
        <v>1</v>
      </c>
      <c r="W48" s="21">
        <f t="shared" si="47"/>
        <v>1</v>
      </c>
      <c r="X48" s="21">
        <f t="shared" si="47"/>
        <v>1</v>
      </c>
      <c r="Y48" s="21">
        <f t="shared" si="47"/>
        <v>1</v>
      </c>
      <c r="Z48" s="21">
        <f t="shared" si="47"/>
        <v>1</v>
      </c>
      <c r="AA48" s="21">
        <f t="shared" si="47"/>
        <v>1</v>
      </c>
      <c r="AB48" s="21">
        <f t="shared" si="47"/>
        <v>0</v>
      </c>
      <c r="AC48" s="20"/>
      <c r="AD48" s="20"/>
      <c r="AE48" s="20"/>
      <c r="AF48" s="20"/>
      <c r="AG48" s="20"/>
      <c r="AH48" s="20"/>
    </row>
    <row r="49" ht="18.75" customHeight="1">
      <c r="A49" s="54"/>
      <c r="B49" s="55">
        <f>1+(ROW(B49)-ROW(B$13))/$A$12</f>
        <v>13</v>
      </c>
      <c r="C49" s="27">
        <f t="array" ref="C49">INDEX('Import git'!A$2:C$15,$B49,1)</f>
        <v>13</v>
      </c>
      <c r="D49" s="27" t="str">
        <f t="array" ref="D49">INDEX('Import git'!D$2:D$15,$B49)</f>
        <v>Nécromant</v>
      </c>
      <c r="E49" s="56">
        <f t="array" ref="E49">INDEX('Import git'!F$2:F$15,$B49)</f>
        <v>6</v>
      </c>
      <c r="F49" s="56" t="str">
        <f t="array" ref="F49">INDEX('Import git'!G$2:G$15,$B49)</f>
        <v>6</v>
      </c>
      <c r="G49" s="56">
        <f t="array" ref="G49">INDEX('Import git'!H$2:H$15,$B49)</f>
        <v>4</v>
      </c>
      <c r="H49" s="56">
        <f t="array" ref="H49">INDEX('Import git'!I$2:I$15,$B49)</f>
        <v>1</v>
      </c>
      <c r="I49" s="56">
        <f t="array" ref="I49">INDEX('Import git'!J$2:J$15,$B49)</f>
        <v>1</v>
      </c>
      <c r="J49" s="56">
        <f t="array" ref="J49">INDEX('Import git'!K$2:K$15,$B49)</f>
        <v>10</v>
      </c>
      <c r="K49" s="56">
        <f t="array" ref="K49">INDEX('Import git'!L$2:L$15,$B49)</f>
        <v>0</v>
      </c>
      <c r="L49" s="56" t="str">
        <f t="array" ref="L49">INDEX('Import git'!M$2:M$15,$B49)</f>
        <v>X</v>
      </c>
      <c r="M49" s="32"/>
      <c r="N49" s="25">
        <f>G49+H49+I49+K49</f>
        <v>6</v>
      </c>
      <c r="O49" s="32"/>
      <c r="P49" s="58" t="s">
        <v>228</v>
      </c>
      <c r="Q49" s="27">
        <f t="shared" ref="Q49:AB49" si="48">CEILING(($J49-$K49)/(Q$5-$I49-$K49), 1)</f>
        <v>-10</v>
      </c>
      <c r="R49" s="27" t="str">
        <f t="shared" si="48"/>
        <v>#DIV/0!</v>
      </c>
      <c r="S49" s="27" t="str">
        <f t="shared" si="48"/>
        <v>#DIV/0!</v>
      </c>
      <c r="T49" s="27">
        <f t="shared" si="48"/>
        <v>10</v>
      </c>
      <c r="U49" s="27">
        <f t="shared" si="48"/>
        <v>5</v>
      </c>
      <c r="V49" s="27">
        <f t="shared" si="48"/>
        <v>10</v>
      </c>
      <c r="W49" s="27">
        <f t="shared" si="48"/>
        <v>4</v>
      </c>
      <c r="X49" s="27">
        <f t="shared" si="48"/>
        <v>4</v>
      </c>
      <c r="Y49" s="27">
        <f t="shared" si="48"/>
        <v>10</v>
      </c>
      <c r="Z49" s="27">
        <f t="shared" si="48"/>
        <v>5</v>
      </c>
      <c r="AA49" s="27">
        <f t="shared" si="48"/>
        <v>4</v>
      </c>
      <c r="AB49" s="27">
        <f t="shared" si="48"/>
        <v>3</v>
      </c>
      <c r="AC49" s="32"/>
      <c r="AD49" s="60" t="s">
        <v>262</v>
      </c>
      <c r="AE49" s="60" t="s">
        <v>263</v>
      </c>
      <c r="AF49" s="32"/>
      <c r="AG49" s="67" t="s">
        <v>124</v>
      </c>
      <c r="AH49" s="62" t="str">
        <f t="array" ref="AH49">INDEX('Import git'!P$2:P$15,$B49)</f>
        <v>&lt;u&gt;Main de mort&lt;/u&gt;: Inflige 1 dégât automatique</v>
      </c>
    </row>
    <row r="50" ht="18.75" customHeight="1">
      <c r="A50" s="3"/>
      <c r="B50" s="3"/>
      <c r="E50" s="17"/>
      <c r="F50" s="17"/>
      <c r="G50" s="17"/>
      <c r="H50" s="17"/>
      <c r="I50" s="17"/>
      <c r="J50" s="17"/>
      <c r="K50" s="17"/>
      <c r="L50" s="17"/>
      <c r="N50" s="8"/>
      <c r="P50" s="9" t="s">
        <v>236</v>
      </c>
      <c r="Q50" s="10">
        <f t="shared" ref="Q50:AB50" si="49">Q49*MAX($H49,$G49-Q$6+$H49-Q$8)</f>
        <v>-50</v>
      </c>
      <c r="R50" s="10" t="str">
        <f t="shared" si="49"/>
        <v>#DIV/0!</v>
      </c>
      <c r="S50" s="10" t="str">
        <f t="shared" si="49"/>
        <v>#DIV/0!</v>
      </c>
      <c r="T50" s="10">
        <f t="shared" si="49"/>
        <v>50</v>
      </c>
      <c r="U50" s="10">
        <f t="shared" si="49"/>
        <v>25</v>
      </c>
      <c r="V50" s="10">
        <f t="shared" si="49"/>
        <v>40</v>
      </c>
      <c r="W50" s="10">
        <f t="shared" si="49"/>
        <v>20</v>
      </c>
      <c r="X50" s="10">
        <f t="shared" si="49"/>
        <v>12</v>
      </c>
      <c r="Y50" s="10">
        <f t="shared" si="49"/>
        <v>20</v>
      </c>
      <c r="Z50" s="10">
        <f t="shared" si="49"/>
        <v>10</v>
      </c>
      <c r="AA50" s="10">
        <f t="shared" si="49"/>
        <v>8</v>
      </c>
      <c r="AB50" s="10">
        <f t="shared" si="49"/>
        <v>3</v>
      </c>
    </row>
    <row r="51" ht="24.0" customHeight="1">
      <c r="A51" s="47"/>
      <c r="B51" s="47"/>
      <c r="C51" s="20"/>
      <c r="D51" s="20"/>
      <c r="E51" s="63"/>
      <c r="F51" s="63"/>
      <c r="G51" s="63"/>
      <c r="H51" s="63"/>
      <c r="I51" s="63"/>
      <c r="J51" s="63"/>
      <c r="K51" s="63"/>
      <c r="L51" s="63"/>
      <c r="M51" s="20"/>
      <c r="N51" s="64"/>
      <c r="O51" s="20"/>
      <c r="P51" s="19" t="s">
        <v>237</v>
      </c>
      <c r="Q51" s="21">
        <f t="shared" ref="Q51:AB51" si="50">IF(ISNUMBER(Q50),IF(Q50&lt;Q$7, 1, 0), 0)</f>
        <v>1</v>
      </c>
      <c r="R51" s="21">
        <f t="shared" si="50"/>
        <v>0</v>
      </c>
      <c r="S51" s="21">
        <f t="shared" si="50"/>
        <v>0</v>
      </c>
      <c r="T51" s="21">
        <f t="shared" si="50"/>
        <v>0</v>
      </c>
      <c r="U51" s="21">
        <f t="shared" si="50"/>
        <v>0</v>
      </c>
      <c r="V51" s="21">
        <f t="shared" si="50"/>
        <v>0</v>
      </c>
      <c r="W51" s="21">
        <f t="shared" si="50"/>
        <v>0</v>
      </c>
      <c r="X51" s="21">
        <f t="shared" si="50"/>
        <v>0</v>
      </c>
      <c r="Y51" s="21">
        <f t="shared" si="50"/>
        <v>0</v>
      </c>
      <c r="Z51" s="21">
        <f t="shared" si="50"/>
        <v>1</v>
      </c>
      <c r="AA51" s="21">
        <f t="shared" si="50"/>
        <v>1</v>
      </c>
      <c r="AB51" s="21">
        <f t="shared" si="50"/>
        <v>1</v>
      </c>
      <c r="AC51" s="20"/>
      <c r="AD51" s="20"/>
      <c r="AE51" s="20"/>
      <c r="AF51" s="20"/>
      <c r="AG51" s="20"/>
      <c r="AH51" s="20"/>
    </row>
    <row r="52" ht="16.5" customHeight="1">
      <c r="A52" s="54"/>
      <c r="B52" s="55">
        <f>1+(ROW(B52)-ROW(B$13))/$A$12</f>
        <v>14</v>
      </c>
      <c r="C52" s="27">
        <f t="array" ref="C52">INDEX('Import git'!A$2:C$15,$B52,1)</f>
        <v>14</v>
      </c>
      <c r="D52" s="27" t="str">
        <f t="array" ref="D52">INDEX('Import git'!D$2:D$15,$B52)</f>
        <v>Vampire</v>
      </c>
      <c r="E52" s="56">
        <f t="array" ref="E52">INDEX('Import git'!F$2:F$15,$B52)</f>
        <v>6</v>
      </c>
      <c r="F52" s="56" t="str">
        <f t="array" ref="F52">INDEX('Import git'!G$2:G$15,$B52)</f>
        <v>4-5</v>
      </c>
      <c r="G52" s="56">
        <f t="array" ref="G52">INDEX('Import git'!H$2:H$15,$B52)</f>
        <v>4</v>
      </c>
      <c r="H52" s="56">
        <f t="array" ref="H52">INDEX('Import git'!I$2:I$15,$B52)</f>
        <v>2</v>
      </c>
      <c r="I52" s="56">
        <f t="array" ref="I52">INDEX('Import git'!J$2:J$15,$B52)</f>
        <v>2</v>
      </c>
      <c r="J52" s="56">
        <f t="array" ref="J52">INDEX('Import git'!K$2:K$15,$B52)</f>
        <v>8</v>
      </c>
      <c r="K52" s="56">
        <f t="array" ref="K52">INDEX('Import git'!L$2:L$15,$B52)</f>
        <v>1</v>
      </c>
      <c r="L52" s="56" t="str">
        <f t="array" ref="L52">INDEX('Import git'!M$2:M$15,$B52)</f>
        <v>X</v>
      </c>
      <c r="M52" s="32"/>
      <c r="N52" s="25">
        <f>G52+H52+I52+K52</f>
        <v>9</v>
      </c>
      <c r="O52" s="32"/>
      <c r="P52" s="58" t="s">
        <v>228</v>
      </c>
      <c r="Q52" s="27">
        <f t="shared" ref="Q52:AB52" si="51">CEILING(($J52-$K52)/(Q$5-$I52-$K52), 1)</f>
        <v>-2</v>
      </c>
      <c r="R52" s="27">
        <f t="shared" si="51"/>
        <v>-3</v>
      </c>
      <c r="S52" s="27">
        <f t="shared" si="51"/>
        <v>-3</v>
      </c>
      <c r="T52" s="27">
        <f t="shared" si="51"/>
        <v>-7</v>
      </c>
      <c r="U52" s="27" t="str">
        <f t="shared" si="51"/>
        <v>#DIV/0!</v>
      </c>
      <c r="V52" s="27">
        <f t="shared" si="51"/>
        <v>-7</v>
      </c>
      <c r="W52" s="27">
        <f t="shared" si="51"/>
        <v>7</v>
      </c>
      <c r="X52" s="27">
        <f t="shared" si="51"/>
        <v>7</v>
      </c>
      <c r="Y52" s="27">
        <f t="shared" si="51"/>
        <v>-7</v>
      </c>
      <c r="Z52" s="27" t="str">
        <f t="shared" si="51"/>
        <v>#DIV/0!</v>
      </c>
      <c r="AA52" s="27">
        <f t="shared" si="51"/>
        <v>7</v>
      </c>
      <c r="AB52" s="27">
        <f t="shared" si="51"/>
        <v>4</v>
      </c>
      <c r="AC52" s="32"/>
      <c r="AD52" s="60" t="s">
        <v>264</v>
      </c>
      <c r="AE52" s="60" t="s">
        <v>265</v>
      </c>
      <c r="AF52" s="32"/>
      <c r="AG52" s="67" t="s">
        <v>266</v>
      </c>
      <c r="AH52" s="62" t="str">
        <f t="array" ref="AH52">INDEX('Import git'!P$2:P$15,$B52)</f>
        <v>&lt;u&gt;Mort-vivant&lt;/u&gt;: Encaisse 1 dégât supplémentaire si arme argentée&lt;br&gt;&lt;u&gt;Toucher spectral&lt;/u&gt;: Inflige 2 dégâts automatiques&lt;br&gt;&lt;u&gt;Vampire&lt;/u&gt;: Prend 2 dégâts automatique face à une torche utilisée comme arme.</v>
      </c>
    </row>
    <row r="53" ht="15.0" customHeight="1">
      <c r="A53" s="3"/>
      <c r="B53" s="3"/>
      <c r="E53" s="17"/>
      <c r="F53" s="17"/>
      <c r="G53" s="17"/>
      <c r="H53" s="17"/>
      <c r="I53" s="17"/>
      <c r="J53" s="17"/>
      <c r="K53" s="17"/>
      <c r="L53" s="17"/>
      <c r="N53" s="8"/>
      <c r="P53" s="9" t="s">
        <v>236</v>
      </c>
      <c r="Q53" s="10">
        <f t="shared" ref="Q53:AB53" si="52">Q52*MAX($H52,$G52-Q$6+$H52-Q$8)</f>
        <v>-12</v>
      </c>
      <c r="R53" s="10">
        <f t="shared" si="52"/>
        <v>-18</v>
      </c>
      <c r="S53" s="10">
        <f t="shared" si="52"/>
        <v>-18</v>
      </c>
      <c r="T53" s="10">
        <f t="shared" si="52"/>
        <v>-42</v>
      </c>
      <c r="U53" s="10" t="str">
        <f t="shared" si="52"/>
        <v>#DIV/0!</v>
      </c>
      <c r="V53" s="10">
        <f t="shared" si="52"/>
        <v>-35</v>
      </c>
      <c r="W53" s="10">
        <f t="shared" si="52"/>
        <v>42</v>
      </c>
      <c r="X53" s="10">
        <f t="shared" si="52"/>
        <v>28</v>
      </c>
      <c r="Y53" s="10">
        <f t="shared" si="52"/>
        <v>-21</v>
      </c>
      <c r="Z53" s="10" t="str">
        <f t="shared" si="52"/>
        <v>#DIV/0!</v>
      </c>
      <c r="AA53" s="10">
        <f t="shared" si="52"/>
        <v>21</v>
      </c>
      <c r="AB53" s="10">
        <f t="shared" si="52"/>
        <v>8</v>
      </c>
    </row>
    <row r="54">
      <c r="A54" s="47"/>
      <c r="B54" s="47"/>
      <c r="C54" s="20"/>
      <c r="D54" s="20"/>
      <c r="E54" s="63"/>
      <c r="F54" s="63"/>
      <c r="G54" s="63"/>
      <c r="H54" s="63"/>
      <c r="I54" s="63"/>
      <c r="J54" s="63"/>
      <c r="K54" s="63"/>
      <c r="L54" s="63"/>
      <c r="M54" s="20"/>
      <c r="N54" s="64"/>
      <c r="O54" s="20"/>
      <c r="P54" s="19" t="s">
        <v>237</v>
      </c>
      <c r="Q54" s="21">
        <f t="shared" ref="Q54:AB54" si="53">IF(ISNUMBER(Q53),IF(Q53&lt;Q$7, 1, 0), 0)</f>
        <v>1</v>
      </c>
      <c r="R54" s="21">
        <f t="shared" si="53"/>
        <v>1</v>
      </c>
      <c r="S54" s="21">
        <f t="shared" si="53"/>
        <v>1</v>
      </c>
      <c r="T54" s="21">
        <f t="shared" si="53"/>
        <v>1</v>
      </c>
      <c r="U54" s="21">
        <f t="shared" si="53"/>
        <v>0</v>
      </c>
      <c r="V54" s="21">
        <f t="shared" si="53"/>
        <v>1</v>
      </c>
      <c r="W54" s="21">
        <f t="shared" si="53"/>
        <v>0</v>
      </c>
      <c r="X54" s="21">
        <f t="shared" si="53"/>
        <v>0</v>
      </c>
      <c r="Y54" s="21">
        <f t="shared" si="53"/>
        <v>1</v>
      </c>
      <c r="Z54" s="21">
        <f t="shared" si="53"/>
        <v>0</v>
      </c>
      <c r="AA54" s="21">
        <f t="shared" si="53"/>
        <v>0</v>
      </c>
      <c r="AB54" s="21">
        <f t="shared" si="53"/>
        <v>1</v>
      </c>
      <c r="AC54" s="20"/>
      <c r="AD54" s="20"/>
      <c r="AE54" s="20"/>
      <c r="AF54" s="20"/>
      <c r="AG54" s="20"/>
      <c r="AH54" s="20"/>
    </row>
    <row r="55">
      <c r="A55" s="54"/>
      <c r="B55" s="54"/>
      <c r="C55" s="32"/>
      <c r="D55" s="32"/>
      <c r="E55" s="70"/>
      <c r="F55" s="70"/>
      <c r="G55" s="70"/>
      <c r="H55" s="70"/>
      <c r="I55" s="70"/>
      <c r="J55" s="70"/>
      <c r="K55" s="70"/>
      <c r="L55" s="70"/>
      <c r="M55" s="32"/>
      <c r="N55" s="71"/>
      <c r="O55" s="32"/>
      <c r="P55" s="32"/>
      <c r="Q55" s="32"/>
      <c r="R55" s="32"/>
      <c r="S55" s="32"/>
      <c r="T55" s="32"/>
      <c r="U55" s="32"/>
      <c r="V55" s="32"/>
      <c r="W55" s="32"/>
      <c r="X55" s="32"/>
      <c r="Y55" s="32"/>
      <c r="Z55" s="32"/>
      <c r="AA55" s="32"/>
      <c r="AB55" s="32"/>
      <c r="AC55" s="32"/>
      <c r="AD55" s="33"/>
      <c r="AE55" s="32"/>
      <c r="AF55" s="32"/>
      <c r="AG55" s="61"/>
      <c r="AH55" s="54"/>
    </row>
    <row r="56">
      <c r="A56" s="3"/>
      <c r="B56" s="3"/>
      <c r="E56" s="17"/>
      <c r="F56" s="17"/>
      <c r="G56" s="17"/>
      <c r="H56" s="17"/>
      <c r="I56" s="17"/>
      <c r="J56" s="17"/>
      <c r="K56" s="17"/>
      <c r="L56" s="17"/>
      <c r="N56" s="8"/>
      <c r="AD56" s="15"/>
      <c r="AG56" s="16"/>
      <c r="AH56" s="3"/>
    </row>
    <row r="57">
      <c r="A57" s="3"/>
      <c r="B57" s="3"/>
      <c r="E57" s="17"/>
      <c r="F57" s="17"/>
      <c r="G57" s="17"/>
      <c r="H57" s="17"/>
      <c r="I57" s="17"/>
      <c r="J57" s="17"/>
      <c r="K57" s="17"/>
      <c r="L57" s="17"/>
      <c r="N57" s="8"/>
      <c r="AD57" s="15"/>
      <c r="AG57" s="16"/>
      <c r="AH57" s="3"/>
    </row>
    <row r="58">
      <c r="A58" s="3"/>
      <c r="B58" s="3"/>
      <c r="E58" s="17"/>
      <c r="F58" s="17"/>
      <c r="G58" s="17"/>
      <c r="H58" s="17"/>
      <c r="I58" s="17"/>
      <c r="J58" s="17"/>
      <c r="K58" s="17"/>
      <c r="L58" s="17"/>
      <c r="N58" s="8"/>
      <c r="AD58" s="15"/>
      <c r="AG58" s="16"/>
      <c r="AH58" s="3"/>
    </row>
    <row r="59">
      <c r="A59" s="3"/>
      <c r="B59" s="3"/>
      <c r="E59" s="17"/>
      <c r="F59" s="17"/>
      <c r="G59" s="17"/>
      <c r="H59" s="17"/>
      <c r="I59" s="17"/>
      <c r="J59" s="17"/>
      <c r="K59" s="17"/>
      <c r="L59" s="17"/>
      <c r="N59" s="8"/>
      <c r="AD59" s="15"/>
      <c r="AG59" s="16"/>
      <c r="AH59" s="3"/>
    </row>
    <row r="60">
      <c r="A60" s="3"/>
      <c r="B60" s="3"/>
      <c r="E60" s="17"/>
      <c r="F60" s="17"/>
      <c r="G60" s="17"/>
      <c r="H60" s="17"/>
      <c r="I60" s="17"/>
      <c r="J60" s="17"/>
      <c r="K60" s="17"/>
      <c r="L60" s="17"/>
      <c r="N60" s="8"/>
      <c r="AD60" s="15"/>
      <c r="AG60" s="16"/>
      <c r="AH60" s="3"/>
    </row>
    <row r="61">
      <c r="A61" s="3"/>
      <c r="B61" s="3"/>
      <c r="E61" s="17"/>
      <c r="F61" s="17"/>
      <c r="G61" s="17"/>
      <c r="H61" s="17"/>
      <c r="I61" s="17"/>
      <c r="J61" s="17"/>
      <c r="K61" s="17"/>
      <c r="L61" s="17"/>
      <c r="N61" s="8"/>
      <c r="AD61" s="15"/>
      <c r="AG61" s="16"/>
      <c r="AH61" s="3"/>
    </row>
    <row r="62">
      <c r="A62" s="3"/>
      <c r="B62" s="3"/>
      <c r="E62" s="17"/>
      <c r="F62" s="17"/>
      <c r="G62" s="17"/>
      <c r="H62" s="17"/>
      <c r="I62" s="17"/>
      <c r="J62" s="17"/>
      <c r="K62" s="17"/>
      <c r="L62" s="17"/>
      <c r="N62" s="8"/>
      <c r="AD62" s="15"/>
      <c r="AG62" s="16"/>
      <c r="AH62" s="3"/>
    </row>
    <row r="63">
      <c r="A63" s="3"/>
      <c r="B63" s="3"/>
      <c r="E63" s="17"/>
      <c r="F63" s="17"/>
      <c r="G63" s="17"/>
      <c r="H63" s="17"/>
      <c r="I63" s="17"/>
      <c r="J63" s="17"/>
      <c r="K63" s="17"/>
      <c r="L63" s="17"/>
      <c r="N63" s="8"/>
      <c r="AD63" s="15"/>
      <c r="AG63" s="16"/>
      <c r="AH63" s="3"/>
    </row>
    <row r="64">
      <c r="A64" s="3"/>
      <c r="B64" s="3"/>
      <c r="E64" s="17"/>
      <c r="F64" s="17"/>
      <c r="G64" s="17"/>
      <c r="H64" s="17"/>
      <c r="I64" s="17"/>
      <c r="J64" s="17"/>
      <c r="K64" s="17"/>
      <c r="L64" s="17"/>
      <c r="N64" s="8"/>
      <c r="AD64" s="15"/>
      <c r="AG64" s="16"/>
      <c r="AH64" s="3"/>
    </row>
    <row r="65">
      <c r="A65" s="3"/>
      <c r="B65" s="3"/>
      <c r="E65" s="17"/>
      <c r="F65" s="17"/>
      <c r="G65" s="17"/>
      <c r="H65" s="17"/>
      <c r="I65" s="17"/>
      <c r="J65" s="17"/>
      <c r="K65" s="17"/>
      <c r="L65" s="17"/>
      <c r="N65" s="8"/>
      <c r="AD65" s="15"/>
      <c r="AG65" s="16"/>
      <c r="AH65" s="3"/>
    </row>
    <row r="66">
      <c r="A66" s="3"/>
      <c r="B66" s="3"/>
      <c r="E66" s="17"/>
      <c r="F66" s="17"/>
      <c r="G66" s="17"/>
      <c r="H66" s="17"/>
      <c r="I66" s="17"/>
      <c r="J66" s="17"/>
      <c r="K66" s="17"/>
      <c r="L66" s="17"/>
      <c r="N66" s="8"/>
      <c r="AD66" s="15"/>
      <c r="AG66" s="16"/>
      <c r="AH66" s="3"/>
    </row>
    <row r="67">
      <c r="A67" s="3"/>
      <c r="B67" s="3"/>
      <c r="E67" s="17"/>
      <c r="F67" s="17"/>
      <c r="G67" s="17"/>
      <c r="H67" s="17"/>
      <c r="I67" s="17"/>
      <c r="J67" s="17"/>
      <c r="K67" s="17"/>
      <c r="L67" s="17"/>
      <c r="N67" s="8"/>
      <c r="AD67" s="15"/>
      <c r="AG67" s="16"/>
      <c r="AH67" s="3"/>
    </row>
    <row r="68">
      <c r="A68" s="3"/>
      <c r="B68" s="3"/>
      <c r="E68" s="17"/>
      <c r="F68" s="17"/>
      <c r="G68" s="17"/>
      <c r="H68" s="17"/>
      <c r="I68" s="17"/>
      <c r="J68" s="17"/>
      <c r="K68" s="17"/>
      <c r="L68" s="17"/>
      <c r="N68" s="8"/>
      <c r="AD68" s="15"/>
      <c r="AG68" s="16"/>
      <c r="AH68" s="3"/>
    </row>
    <row r="69">
      <c r="A69" s="3"/>
      <c r="B69" s="3"/>
      <c r="E69" s="17"/>
      <c r="F69" s="17"/>
      <c r="G69" s="17"/>
      <c r="H69" s="17"/>
      <c r="I69" s="17"/>
      <c r="J69" s="17"/>
      <c r="K69" s="17"/>
      <c r="L69" s="17"/>
      <c r="N69" s="8"/>
      <c r="AD69" s="15"/>
      <c r="AG69" s="16"/>
      <c r="AH69" s="3"/>
    </row>
    <row r="70">
      <c r="A70" s="3"/>
      <c r="B70" s="3"/>
      <c r="E70" s="17"/>
      <c r="F70" s="17"/>
      <c r="G70" s="17"/>
      <c r="H70" s="17"/>
      <c r="I70" s="17"/>
      <c r="J70" s="17"/>
      <c r="K70" s="17"/>
      <c r="L70" s="17"/>
      <c r="N70" s="8"/>
      <c r="AD70" s="15"/>
      <c r="AG70" s="16"/>
      <c r="AH70" s="3"/>
    </row>
    <row r="71">
      <c r="A71" s="3"/>
      <c r="B71" s="3"/>
      <c r="E71" s="17"/>
      <c r="F71" s="17"/>
      <c r="G71" s="17"/>
      <c r="H71" s="17"/>
      <c r="I71" s="17"/>
      <c r="J71" s="17"/>
      <c r="K71" s="17"/>
      <c r="L71" s="17"/>
      <c r="N71" s="8"/>
      <c r="AD71" s="15"/>
      <c r="AG71" s="16"/>
      <c r="AH71" s="3"/>
    </row>
    <row r="72">
      <c r="A72" s="3"/>
      <c r="B72" s="3"/>
      <c r="E72" s="17"/>
      <c r="F72" s="17"/>
      <c r="G72" s="17"/>
      <c r="H72" s="17"/>
      <c r="I72" s="17"/>
      <c r="J72" s="17"/>
      <c r="K72" s="17"/>
      <c r="L72" s="17"/>
      <c r="N72" s="8"/>
      <c r="AD72" s="15"/>
      <c r="AG72" s="16"/>
      <c r="AH72" s="3"/>
    </row>
    <row r="73">
      <c r="A73" s="3"/>
      <c r="B73" s="3"/>
      <c r="E73" s="17"/>
      <c r="F73" s="17"/>
      <c r="G73" s="17"/>
      <c r="H73" s="17"/>
      <c r="I73" s="17"/>
      <c r="J73" s="17"/>
      <c r="K73" s="17"/>
      <c r="L73" s="17"/>
      <c r="N73" s="8"/>
      <c r="AD73" s="15"/>
      <c r="AG73" s="16"/>
      <c r="AH73" s="3"/>
    </row>
    <row r="74">
      <c r="A74" s="3"/>
      <c r="B74" s="3"/>
      <c r="E74" s="17"/>
      <c r="F74" s="17"/>
      <c r="G74" s="17"/>
      <c r="H74" s="17"/>
      <c r="I74" s="17"/>
      <c r="J74" s="17"/>
      <c r="K74" s="17"/>
      <c r="L74" s="17"/>
      <c r="N74" s="8"/>
      <c r="AD74" s="15"/>
      <c r="AG74" s="16"/>
      <c r="AH74" s="3"/>
    </row>
    <row r="75">
      <c r="A75" s="3"/>
      <c r="B75" s="3"/>
      <c r="E75" s="17"/>
      <c r="F75" s="17"/>
      <c r="G75" s="17"/>
      <c r="H75" s="17"/>
      <c r="I75" s="17"/>
      <c r="J75" s="17"/>
      <c r="K75" s="17"/>
      <c r="L75" s="17"/>
      <c r="N75" s="8"/>
      <c r="AD75" s="15"/>
      <c r="AG75" s="16"/>
      <c r="AH75" s="3"/>
    </row>
    <row r="76">
      <c r="A76" s="3"/>
      <c r="B76" s="3"/>
      <c r="E76" s="17"/>
      <c r="F76" s="17"/>
      <c r="G76" s="17"/>
      <c r="H76" s="17"/>
      <c r="I76" s="17"/>
      <c r="J76" s="17"/>
      <c r="K76" s="17"/>
      <c r="L76" s="17"/>
      <c r="N76" s="8"/>
      <c r="AD76" s="15"/>
      <c r="AG76" s="16"/>
      <c r="AH76" s="3"/>
    </row>
    <row r="77">
      <c r="A77" s="3"/>
      <c r="B77" s="3"/>
      <c r="E77" s="17"/>
      <c r="F77" s="17"/>
      <c r="G77" s="17"/>
      <c r="H77" s="17"/>
      <c r="I77" s="17"/>
      <c r="J77" s="17"/>
      <c r="K77" s="17"/>
      <c r="L77" s="17"/>
      <c r="N77" s="8"/>
      <c r="AD77" s="15"/>
      <c r="AG77" s="16"/>
      <c r="AH77" s="3"/>
    </row>
    <row r="78">
      <c r="A78" s="3"/>
      <c r="B78" s="3"/>
      <c r="E78" s="17"/>
      <c r="F78" s="17"/>
      <c r="G78" s="17"/>
      <c r="H78" s="17"/>
      <c r="I78" s="17"/>
      <c r="J78" s="17"/>
      <c r="K78" s="17"/>
      <c r="L78" s="17"/>
      <c r="N78" s="8"/>
      <c r="AD78" s="15"/>
      <c r="AG78" s="16"/>
      <c r="AH78" s="3"/>
    </row>
    <row r="79">
      <c r="A79" s="3"/>
      <c r="B79" s="3"/>
      <c r="E79" s="17"/>
      <c r="F79" s="17"/>
      <c r="G79" s="17"/>
      <c r="H79" s="17"/>
      <c r="I79" s="17"/>
      <c r="J79" s="17"/>
      <c r="K79" s="17"/>
      <c r="L79" s="17"/>
      <c r="N79" s="8"/>
      <c r="AD79" s="15"/>
      <c r="AG79" s="16"/>
      <c r="AH79" s="3"/>
    </row>
    <row r="80">
      <c r="A80" s="3"/>
      <c r="B80" s="3"/>
      <c r="E80" s="17"/>
      <c r="F80" s="17"/>
      <c r="G80" s="17"/>
      <c r="H80" s="17"/>
      <c r="I80" s="17"/>
      <c r="J80" s="17"/>
      <c r="K80" s="17"/>
      <c r="L80" s="17"/>
      <c r="N80" s="8"/>
      <c r="AD80" s="15"/>
      <c r="AG80" s="16"/>
      <c r="AH80" s="3"/>
    </row>
    <row r="81">
      <c r="A81" s="3"/>
      <c r="B81" s="3"/>
      <c r="E81" s="17"/>
      <c r="F81" s="17"/>
      <c r="G81" s="17"/>
      <c r="H81" s="17"/>
      <c r="I81" s="17"/>
      <c r="J81" s="17"/>
      <c r="K81" s="17"/>
      <c r="L81" s="17"/>
      <c r="N81" s="8"/>
      <c r="AD81" s="15"/>
      <c r="AG81" s="16"/>
      <c r="AH81" s="3"/>
    </row>
    <row r="82">
      <c r="A82" s="3"/>
      <c r="B82" s="3"/>
      <c r="E82" s="17"/>
      <c r="F82" s="17"/>
      <c r="G82" s="17"/>
      <c r="H82" s="17"/>
      <c r="I82" s="17"/>
      <c r="J82" s="17"/>
      <c r="K82" s="17"/>
      <c r="L82" s="17"/>
      <c r="N82" s="8"/>
      <c r="AD82" s="15"/>
      <c r="AG82" s="16"/>
      <c r="AH82" s="3"/>
    </row>
    <row r="83">
      <c r="A83" s="3"/>
      <c r="B83" s="3"/>
      <c r="E83" s="17"/>
      <c r="F83" s="17"/>
      <c r="G83" s="17"/>
      <c r="H83" s="17"/>
      <c r="I83" s="17"/>
      <c r="J83" s="17"/>
      <c r="K83" s="17"/>
      <c r="L83" s="17"/>
      <c r="N83" s="8"/>
      <c r="AD83" s="15"/>
      <c r="AG83" s="16"/>
      <c r="AH83" s="3"/>
    </row>
    <row r="84">
      <c r="A84" s="3"/>
      <c r="B84" s="3"/>
      <c r="E84" s="17"/>
      <c r="F84" s="17"/>
      <c r="G84" s="17"/>
      <c r="H84" s="17"/>
      <c r="I84" s="17"/>
      <c r="J84" s="17"/>
      <c r="K84" s="17"/>
      <c r="L84" s="17"/>
      <c r="N84" s="8"/>
      <c r="AD84" s="15"/>
      <c r="AG84" s="16"/>
      <c r="AH84" s="3"/>
    </row>
    <row r="85">
      <c r="A85" s="3"/>
      <c r="B85" s="3"/>
      <c r="E85" s="17"/>
      <c r="F85" s="17"/>
      <c r="G85" s="17"/>
      <c r="H85" s="17"/>
      <c r="I85" s="17"/>
      <c r="J85" s="17"/>
      <c r="K85" s="17"/>
      <c r="L85" s="17"/>
      <c r="N85" s="8"/>
      <c r="AD85" s="15"/>
      <c r="AG85" s="16"/>
      <c r="AH85" s="3"/>
    </row>
    <row r="86">
      <c r="A86" s="3"/>
      <c r="B86" s="3"/>
      <c r="E86" s="17"/>
      <c r="F86" s="17"/>
      <c r="G86" s="17"/>
      <c r="H86" s="17"/>
      <c r="I86" s="17"/>
      <c r="J86" s="17"/>
      <c r="K86" s="17"/>
      <c r="L86" s="17"/>
      <c r="N86" s="8"/>
      <c r="AD86" s="15"/>
      <c r="AG86" s="16"/>
      <c r="AH86" s="3"/>
    </row>
    <row r="87">
      <c r="A87" s="3"/>
      <c r="B87" s="3"/>
      <c r="E87" s="17"/>
      <c r="F87" s="17"/>
      <c r="G87" s="17"/>
      <c r="H87" s="17"/>
      <c r="I87" s="17"/>
      <c r="J87" s="17"/>
      <c r="K87" s="17"/>
      <c r="L87" s="17"/>
      <c r="N87" s="8"/>
      <c r="AD87" s="15"/>
      <c r="AG87" s="16"/>
      <c r="AH87" s="3"/>
    </row>
    <row r="88">
      <c r="A88" s="3"/>
      <c r="B88" s="3"/>
      <c r="E88" s="17"/>
      <c r="F88" s="17"/>
      <c r="G88" s="17"/>
      <c r="H88" s="17"/>
      <c r="I88" s="17"/>
      <c r="J88" s="17"/>
      <c r="K88" s="17"/>
      <c r="L88" s="17"/>
      <c r="N88" s="8"/>
      <c r="AD88" s="15"/>
      <c r="AG88" s="16"/>
      <c r="AH88" s="3"/>
    </row>
    <row r="89">
      <c r="A89" s="3"/>
      <c r="B89" s="3"/>
      <c r="E89" s="17"/>
      <c r="F89" s="17"/>
      <c r="G89" s="17"/>
      <c r="H89" s="17"/>
      <c r="I89" s="17"/>
      <c r="J89" s="17"/>
      <c r="K89" s="17"/>
      <c r="L89" s="17"/>
      <c r="N89" s="8"/>
      <c r="AD89" s="15"/>
      <c r="AG89" s="16"/>
      <c r="AH89" s="3"/>
    </row>
    <row r="90">
      <c r="A90" s="3"/>
      <c r="B90" s="3"/>
      <c r="E90" s="17"/>
      <c r="F90" s="17"/>
      <c r="G90" s="17"/>
      <c r="H90" s="17"/>
      <c r="I90" s="17"/>
      <c r="J90" s="17"/>
      <c r="K90" s="17"/>
      <c r="L90" s="17"/>
      <c r="N90" s="8"/>
      <c r="AD90" s="15"/>
      <c r="AG90" s="16"/>
      <c r="AH90" s="3"/>
    </row>
    <row r="91">
      <c r="A91" s="3"/>
      <c r="B91" s="3"/>
      <c r="E91" s="17"/>
      <c r="F91" s="17"/>
      <c r="G91" s="17"/>
      <c r="H91" s="17"/>
      <c r="I91" s="17"/>
      <c r="J91" s="17"/>
      <c r="K91" s="17"/>
      <c r="L91" s="17"/>
      <c r="N91" s="8"/>
      <c r="AD91" s="15"/>
      <c r="AG91" s="16"/>
      <c r="AH91" s="3"/>
    </row>
    <row r="92">
      <c r="A92" s="3"/>
      <c r="B92" s="3"/>
      <c r="E92" s="17"/>
      <c r="F92" s="17"/>
      <c r="G92" s="17"/>
      <c r="H92" s="17"/>
      <c r="I92" s="17"/>
      <c r="J92" s="17"/>
      <c r="K92" s="17"/>
      <c r="L92" s="17"/>
      <c r="N92" s="8"/>
      <c r="AD92" s="15"/>
      <c r="AG92" s="16"/>
      <c r="AH92" s="3"/>
    </row>
    <row r="93">
      <c r="A93" s="3"/>
      <c r="B93" s="3"/>
      <c r="E93" s="17"/>
      <c r="F93" s="17"/>
      <c r="G93" s="17"/>
      <c r="H93" s="17"/>
      <c r="I93" s="17"/>
      <c r="J93" s="17"/>
      <c r="K93" s="17"/>
      <c r="L93" s="17"/>
      <c r="N93" s="8"/>
      <c r="AD93" s="15"/>
      <c r="AG93" s="16"/>
      <c r="AH93" s="3"/>
    </row>
    <row r="94">
      <c r="A94" s="3"/>
      <c r="B94" s="3"/>
      <c r="E94" s="17"/>
      <c r="F94" s="17"/>
      <c r="G94" s="17"/>
      <c r="H94" s="17"/>
      <c r="I94" s="17"/>
      <c r="J94" s="17"/>
      <c r="K94" s="17"/>
      <c r="L94" s="17"/>
      <c r="N94" s="8"/>
      <c r="AD94" s="15"/>
      <c r="AG94" s="16"/>
      <c r="AH94" s="3"/>
    </row>
    <row r="95">
      <c r="A95" s="3"/>
      <c r="B95" s="3"/>
      <c r="E95" s="17"/>
      <c r="F95" s="17"/>
      <c r="G95" s="17"/>
      <c r="H95" s="17"/>
      <c r="I95" s="17"/>
      <c r="J95" s="17"/>
      <c r="K95" s="17"/>
      <c r="L95" s="17"/>
      <c r="N95" s="8"/>
      <c r="AD95" s="15"/>
      <c r="AG95" s="16"/>
      <c r="AH95" s="3"/>
    </row>
    <row r="96">
      <c r="A96" s="3"/>
      <c r="B96" s="3"/>
      <c r="E96" s="17"/>
      <c r="F96" s="17"/>
      <c r="G96" s="17"/>
      <c r="H96" s="17"/>
      <c r="I96" s="17"/>
      <c r="J96" s="17"/>
      <c r="K96" s="17"/>
      <c r="L96" s="17"/>
      <c r="N96" s="8"/>
      <c r="AD96" s="15"/>
      <c r="AG96" s="16"/>
      <c r="AH96" s="3"/>
    </row>
    <row r="97">
      <c r="A97" s="3"/>
      <c r="B97" s="3"/>
      <c r="E97" s="17"/>
      <c r="F97" s="17"/>
      <c r="G97" s="17"/>
      <c r="H97" s="17"/>
      <c r="I97" s="17"/>
      <c r="J97" s="17"/>
      <c r="K97" s="17"/>
      <c r="L97" s="17"/>
      <c r="N97" s="8"/>
      <c r="AD97" s="15"/>
      <c r="AG97" s="16"/>
      <c r="AH97" s="3"/>
    </row>
    <row r="98">
      <c r="A98" s="3"/>
      <c r="B98" s="3"/>
      <c r="E98" s="17"/>
      <c r="F98" s="17"/>
      <c r="G98" s="17"/>
      <c r="H98" s="17"/>
      <c r="I98" s="17"/>
      <c r="J98" s="17"/>
      <c r="K98" s="17"/>
      <c r="L98" s="17"/>
      <c r="N98" s="8"/>
      <c r="AD98" s="15"/>
      <c r="AG98" s="16"/>
      <c r="AH98" s="3"/>
    </row>
    <row r="99">
      <c r="A99" s="3"/>
      <c r="B99" s="3"/>
      <c r="E99" s="17"/>
      <c r="F99" s="17"/>
      <c r="G99" s="17"/>
      <c r="H99" s="17"/>
      <c r="I99" s="17"/>
      <c r="J99" s="17"/>
      <c r="K99" s="17"/>
      <c r="L99" s="17"/>
      <c r="N99" s="8"/>
      <c r="AD99" s="15"/>
      <c r="AG99" s="16"/>
      <c r="AH99" s="3"/>
    </row>
    <row r="100">
      <c r="A100" s="3"/>
      <c r="B100" s="3"/>
      <c r="E100" s="17"/>
      <c r="F100" s="17"/>
      <c r="G100" s="17"/>
      <c r="H100" s="17"/>
      <c r="I100" s="17"/>
      <c r="J100" s="17"/>
      <c r="K100" s="17"/>
      <c r="L100" s="17"/>
      <c r="N100" s="8"/>
      <c r="AD100" s="15"/>
      <c r="AG100" s="16"/>
      <c r="AH100" s="3"/>
    </row>
    <row r="101">
      <c r="A101" s="3"/>
      <c r="B101" s="3"/>
      <c r="E101" s="17"/>
      <c r="F101" s="17"/>
      <c r="G101" s="17"/>
      <c r="H101" s="17"/>
      <c r="I101" s="17"/>
      <c r="J101" s="17"/>
      <c r="K101" s="17"/>
      <c r="L101" s="17"/>
      <c r="N101" s="8"/>
      <c r="AD101" s="15"/>
      <c r="AG101" s="16"/>
      <c r="AH101" s="3"/>
    </row>
    <row r="102">
      <c r="A102" s="3"/>
      <c r="B102" s="3"/>
      <c r="E102" s="17"/>
      <c r="F102" s="17"/>
      <c r="G102" s="17"/>
      <c r="H102" s="17"/>
      <c r="I102" s="17"/>
      <c r="J102" s="17"/>
      <c r="K102" s="17"/>
      <c r="L102" s="17"/>
      <c r="N102" s="8"/>
      <c r="AD102" s="15"/>
      <c r="AG102" s="16"/>
      <c r="AH102" s="3"/>
    </row>
    <row r="103">
      <c r="A103" s="3"/>
      <c r="B103" s="3"/>
      <c r="E103" s="17"/>
      <c r="F103" s="17"/>
      <c r="G103" s="17"/>
      <c r="H103" s="17"/>
      <c r="I103" s="17"/>
      <c r="J103" s="17"/>
      <c r="K103" s="17"/>
      <c r="L103" s="17"/>
      <c r="N103" s="8"/>
      <c r="AD103" s="15"/>
      <c r="AG103" s="16"/>
      <c r="AH103" s="3"/>
    </row>
    <row r="104">
      <c r="A104" s="3"/>
      <c r="B104" s="3"/>
      <c r="E104" s="17"/>
      <c r="F104" s="17"/>
      <c r="G104" s="17"/>
      <c r="H104" s="17"/>
      <c r="I104" s="17"/>
      <c r="J104" s="17"/>
      <c r="K104" s="17"/>
      <c r="L104" s="17"/>
      <c r="N104" s="8"/>
      <c r="AD104" s="15"/>
      <c r="AG104" s="16"/>
      <c r="AH104" s="3"/>
    </row>
    <row r="105">
      <c r="A105" s="3"/>
      <c r="B105" s="3"/>
      <c r="E105" s="17"/>
      <c r="F105" s="17"/>
      <c r="G105" s="17"/>
      <c r="H105" s="17"/>
      <c r="I105" s="17"/>
      <c r="J105" s="17"/>
      <c r="K105" s="17"/>
      <c r="L105" s="17"/>
      <c r="N105" s="8"/>
      <c r="AD105" s="15"/>
      <c r="AG105" s="16"/>
      <c r="AH105" s="3"/>
    </row>
    <row r="106">
      <c r="A106" s="3"/>
      <c r="B106" s="3"/>
      <c r="E106" s="17"/>
      <c r="F106" s="17"/>
      <c r="G106" s="17"/>
      <c r="H106" s="17"/>
      <c r="I106" s="17"/>
      <c r="J106" s="17"/>
      <c r="K106" s="17"/>
      <c r="L106" s="17"/>
      <c r="N106" s="8"/>
      <c r="AD106" s="15"/>
      <c r="AG106" s="16"/>
      <c r="AH106" s="3"/>
    </row>
    <row r="107">
      <c r="A107" s="3"/>
      <c r="B107" s="3"/>
      <c r="E107" s="17"/>
      <c r="F107" s="17"/>
      <c r="G107" s="17"/>
      <c r="H107" s="17"/>
      <c r="I107" s="17"/>
      <c r="J107" s="17"/>
      <c r="K107" s="17"/>
      <c r="L107" s="17"/>
      <c r="N107" s="8"/>
      <c r="AD107" s="15"/>
      <c r="AG107" s="16"/>
      <c r="AH107" s="3"/>
    </row>
    <row r="108">
      <c r="A108" s="3"/>
      <c r="B108" s="3"/>
      <c r="E108" s="17"/>
      <c r="F108" s="17"/>
      <c r="G108" s="17"/>
      <c r="H108" s="17"/>
      <c r="I108" s="17"/>
      <c r="J108" s="17"/>
      <c r="K108" s="17"/>
      <c r="L108" s="17"/>
      <c r="N108" s="8"/>
      <c r="AD108" s="15"/>
      <c r="AG108" s="16"/>
      <c r="AH108" s="3"/>
    </row>
    <row r="109">
      <c r="A109" s="3"/>
      <c r="B109" s="3"/>
      <c r="E109" s="17"/>
      <c r="F109" s="17"/>
      <c r="G109" s="17"/>
      <c r="H109" s="17"/>
      <c r="I109" s="17"/>
      <c r="J109" s="17"/>
      <c r="K109" s="17"/>
      <c r="L109" s="17"/>
      <c r="N109" s="8"/>
      <c r="AD109" s="15"/>
      <c r="AG109" s="16"/>
      <c r="AH109" s="3"/>
    </row>
    <row r="110">
      <c r="A110" s="3"/>
      <c r="B110" s="3"/>
      <c r="E110" s="17"/>
      <c r="F110" s="17"/>
      <c r="G110" s="17"/>
      <c r="H110" s="17"/>
      <c r="I110" s="17"/>
      <c r="J110" s="17"/>
      <c r="K110" s="17"/>
      <c r="L110" s="17"/>
      <c r="N110" s="8"/>
      <c r="AD110" s="15"/>
      <c r="AG110" s="16"/>
      <c r="AH110" s="3"/>
    </row>
  </sheetData>
  <mergeCells count="54">
    <mergeCell ref="AD43:AD45"/>
    <mergeCell ref="AD40:AD42"/>
    <mergeCell ref="AD46:AD48"/>
    <mergeCell ref="AD49:AD51"/>
    <mergeCell ref="AD52:AD54"/>
    <mergeCell ref="AE52:AE54"/>
    <mergeCell ref="AE49:AE51"/>
    <mergeCell ref="AE46:AE48"/>
    <mergeCell ref="AE43:AE45"/>
    <mergeCell ref="AE40:AE42"/>
    <mergeCell ref="AH16:AH18"/>
    <mergeCell ref="AH13:AH15"/>
    <mergeCell ref="AH22:AH24"/>
    <mergeCell ref="AH19:AH21"/>
    <mergeCell ref="AH25:AH27"/>
    <mergeCell ref="AG28:AG30"/>
    <mergeCell ref="AG25:AG27"/>
    <mergeCell ref="AG22:AG24"/>
    <mergeCell ref="AG19:AG21"/>
    <mergeCell ref="AE19:AE21"/>
    <mergeCell ref="AE16:AE18"/>
    <mergeCell ref="AD16:AD18"/>
    <mergeCell ref="AD13:AD15"/>
    <mergeCell ref="AD22:AD24"/>
    <mergeCell ref="AD25:AD27"/>
    <mergeCell ref="AD19:AD21"/>
    <mergeCell ref="AG46:AG48"/>
    <mergeCell ref="AG49:AG51"/>
    <mergeCell ref="AG52:AG54"/>
    <mergeCell ref="AH49:AH51"/>
    <mergeCell ref="AH52:AH54"/>
    <mergeCell ref="AH46:AH48"/>
    <mergeCell ref="AG40:AG42"/>
    <mergeCell ref="AH40:AH42"/>
    <mergeCell ref="AH43:AH45"/>
    <mergeCell ref="AG43:AG45"/>
    <mergeCell ref="AH37:AH39"/>
    <mergeCell ref="AG37:AG39"/>
    <mergeCell ref="AH34:AH36"/>
    <mergeCell ref="AG34:AG36"/>
    <mergeCell ref="AH31:AH33"/>
    <mergeCell ref="AH28:AH30"/>
    <mergeCell ref="AG31:AG33"/>
    <mergeCell ref="AD34:AD36"/>
    <mergeCell ref="AD37:AD39"/>
    <mergeCell ref="AD28:AD30"/>
    <mergeCell ref="AD31:AD33"/>
    <mergeCell ref="AE34:AE36"/>
    <mergeCell ref="AE37:AE39"/>
    <mergeCell ref="AE31:AE33"/>
    <mergeCell ref="AE28:AE30"/>
    <mergeCell ref="AE25:AE27"/>
    <mergeCell ref="AE22:AE24"/>
    <mergeCell ref="AE13:AE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2.75"/>
  <cols>
    <col customWidth="1" min="1" max="1" width="4.14"/>
    <col customWidth="1" min="2" max="2" width="10.0"/>
    <col customWidth="1" min="3" max="3" width="12.71"/>
    <col customWidth="1" min="4" max="4" width="19.0"/>
    <col customWidth="1" min="5" max="5" width="3.14"/>
    <col customWidth="1" min="6" max="6" width="3.43"/>
    <col customWidth="1" min="7" max="7" width="9.71"/>
    <col customWidth="1" min="8" max="8" width="4.43"/>
    <col customWidth="1" min="9" max="9" width="4.0"/>
    <col customWidth="1" min="10" max="11" width="3.86"/>
    <col customWidth="1" min="12" max="12" width="4.0"/>
    <col customWidth="1" min="13" max="13" width="5.86"/>
    <col customWidth="1" min="14" max="14" width="23.0"/>
    <col customWidth="1" min="15" max="15" width="5.71"/>
    <col customWidth="1" min="16" max="17" width="54.43"/>
    <col customWidth="1" min="18" max="20" width="17.29"/>
  </cols>
  <sheetData>
    <row r="1">
      <c r="A1" s="26" t="s">
        <v>54</v>
      </c>
      <c r="B1" s="26" t="s">
        <v>55</v>
      </c>
      <c r="C1" s="26" t="s">
        <v>56</v>
      </c>
      <c r="D1" s="26" t="s">
        <v>57</v>
      </c>
      <c r="E1" s="26" t="s">
        <v>58</v>
      </c>
      <c r="F1" s="26" t="s">
        <v>59</v>
      </c>
      <c r="G1" s="26" t="s">
        <v>60</v>
      </c>
      <c r="H1" s="26" t="s">
        <v>61</v>
      </c>
      <c r="I1" s="26" t="s">
        <v>62</v>
      </c>
      <c r="J1" s="26" t="s">
        <v>63</v>
      </c>
      <c r="K1" s="26" t="s">
        <v>64</v>
      </c>
      <c r="L1" s="26" t="s">
        <v>65</v>
      </c>
      <c r="M1" s="26" t="s">
        <v>66</v>
      </c>
      <c r="N1" s="26" t="s">
        <v>67</v>
      </c>
      <c r="O1" s="26" t="s">
        <v>68</v>
      </c>
      <c r="P1" s="28" t="s">
        <v>69</v>
      </c>
      <c r="Q1" s="28" t="s">
        <v>70</v>
      </c>
      <c r="R1" s="29"/>
      <c r="S1" s="29"/>
      <c r="T1" s="29"/>
    </row>
    <row r="2">
      <c r="A2" s="30">
        <v>1.0</v>
      </c>
      <c r="B2" s="30" t="s">
        <v>71</v>
      </c>
      <c r="C2" s="30" t="s">
        <v>72</v>
      </c>
      <c r="D2" s="30" t="s">
        <v>73</v>
      </c>
      <c r="E2" s="30">
        <v>4.0</v>
      </c>
      <c r="F2" s="30">
        <v>1.0</v>
      </c>
      <c r="G2" s="31" t="s">
        <v>74</v>
      </c>
      <c r="H2" s="30">
        <v>1.0</v>
      </c>
      <c r="I2" s="30">
        <v>1.0</v>
      </c>
      <c r="J2" s="30">
        <v>0.0</v>
      </c>
      <c r="K2" s="30">
        <v>4.0</v>
      </c>
      <c r="L2" s="30">
        <v>0.0</v>
      </c>
      <c r="M2" s="33"/>
      <c r="N2" s="30" t="s">
        <v>75</v>
      </c>
      <c r="O2" s="33"/>
      <c r="P2" s="35" t="s">
        <v>76</v>
      </c>
      <c r="Q2" s="35" t="s">
        <v>77</v>
      </c>
      <c r="R2" s="33"/>
      <c r="S2" s="33"/>
      <c r="T2" s="33"/>
    </row>
    <row r="3">
      <c r="A3" s="11">
        <v>2.0</v>
      </c>
      <c r="B3" s="11" t="s">
        <v>71</v>
      </c>
      <c r="C3" s="11" t="s">
        <v>78</v>
      </c>
      <c r="D3" s="11" t="s">
        <v>9</v>
      </c>
      <c r="E3" s="11">
        <v>4.0</v>
      </c>
      <c r="F3" s="11">
        <v>1.0</v>
      </c>
      <c r="G3" s="37" t="s">
        <v>74</v>
      </c>
      <c r="H3" s="11">
        <v>2.0</v>
      </c>
      <c r="I3" s="11">
        <v>0.0</v>
      </c>
      <c r="J3" s="11">
        <v>0.0</v>
      </c>
      <c r="K3" s="11">
        <v>4.0</v>
      </c>
      <c r="L3" s="11">
        <v>0.0</v>
      </c>
      <c r="M3" s="11" t="s">
        <v>7</v>
      </c>
      <c r="N3" s="11" t="s">
        <v>75</v>
      </c>
      <c r="O3" s="15"/>
      <c r="P3" s="39"/>
      <c r="Q3" s="40" t="s">
        <v>80</v>
      </c>
      <c r="R3" s="15"/>
      <c r="S3" s="15"/>
      <c r="T3" s="15"/>
    </row>
    <row r="4">
      <c r="A4" s="11">
        <v>3.0</v>
      </c>
      <c r="B4" s="11" t="s">
        <v>71</v>
      </c>
      <c r="C4" s="11" t="s">
        <v>81</v>
      </c>
      <c r="D4" s="11" t="s">
        <v>82</v>
      </c>
      <c r="E4" s="11">
        <v>4.0</v>
      </c>
      <c r="F4" s="11">
        <v>1.0</v>
      </c>
      <c r="G4" s="37" t="s">
        <v>83</v>
      </c>
      <c r="H4" s="11">
        <v>1.0</v>
      </c>
      <c r="I4" s="11">
        <v>0.0</v>
      </c>
      <c r="J4" s="11">
        <v>1.0</v>
      </c>
      <c r="K4" s="11">
        <v>2.0</v>
      </c>
      <c r="L4" s="11">
        <v>1.0</v>
      </c>
      <c r="M4" s="15"/>
      <c r="N4" s="11" t="s">
        <v>84</v>
      </c>
      <c r="O4" s="15"/>
      <c r="P4" s="40" t="s">
        <v>85</v>
      </c>
      <c r="Q4" s="40" t="s">
        <v>86</v>
      </c>
      <c r="R4" s="15"/>
      <c r="S4" s="15"/>
      <c r="T4" s="15"/>
    </row>
    <row r="5">
      <c r="A5" s="11">
        <v>4.0</v>
      </c>
      <c r="B5" s="11" t="s">
        <v>71</v>
      </c>
      <c r="C5" s="11" t="s">
        <v>87</v>
      </c>
      <c r="D5" s="11" t="s">
        <v>88</v>
      </c>
      <c r="E5" s="11">
        <v>4.0</v>
      </c>
      <c r="F5" s="11">
        <v>1.0</v>
      </c>
      <c r="G5" s="37" t="s">
        <v>83</v>
      </c>
      <c r="H5" s="11">
        <v>1.0</v>
      </c>
      <c r="I5" s="11">
        <v>1.0</v>
      </c>
      <c r="J5" s="11">
        <v>0.0</v>
      </c>
      <c r="K5" s="11">
        <v>2.0</v>
      </c>
      <c r="L5" s="11">
        <v>1.0</v>
      </c>
      <c r="M5" s="15"/>
      <c r="N5" s="11" t="s">
        <v>84</v>
      </c>
      <c r="O5" s="15"/>
      <c r="P5" s="40" t="s">
        <v>89</v>
      </c>
      <c r="Q5" s="40" t="s">
        <v>90</v>
      </c>
      <c r="R5" s="15"/>
      <c r="S5" s="15"/>
      <c r="T5" s="15"/>
    </row>
    <row r="6">
      <c r="A6" s="11">
        <v>5.0</v>
      </c>
      <c r="B6" s="11" t="s">
        <v>71</v>
      </c>
      <c r="C6" s="11" t="s">
        <v>91</v>
      </c>
      <c r="D6" s="11" t="s">
        <v>13</v>
      </c>
      <c r="E6" s="11">
        <v>4.0</v>
      </c>
      <c r="F6" s="11">
        <v>2.0</v>
      </c>
      <c r="G6" s="37" t="s">
        <v>92</v>
      </c>
      <c r="H6" s="11">
        <v>3.0</v>
      </c>
      <c r="I6" s="11">
        <v>0.0</v>
      </c>
      <c r="J6" s="11">
        <v>1.0</v>
      </c>
      <c r="K6" s="11">
        <v>6.0</v>
      </c>
      <c r="L6" s="11">
        <v>0.0</v>
      </c>
      <c r="M6" s="15"/>
      <c r="N6" s="11" t="s">
        <v>75</v>
      </c>
      <c r="O6" s="15"/>
      <c r="P6" s="40" t="s">
        <v>93</v>
      </c>
      <c r="Q6" s="40" t="s">
        <v>94</v>
      </c>
      <c r="R6" s="15"/>
      <c r="S6" s="15"/>
      <c r="T6" s="15"/>
    </row>
    <row r="7">
      <c r="A7" s="11">
        <v>6.0</v>
      </c>
      <c r="B7" s="11" t="s">
        <v>71</v>
      </c>
      <c r="C7" s="11" t="s">
        <v>95</v>
      </c>
      <c r="D7" s="11" t="s">
        <v>14</v>
      </c>
      <c r="E7" s="11">
        <v>4.0</v>
      </c>
      <c r="F7" s="11">
        <v>2.0</v>
      </c>
      <c r="G7" s="37" t="s">
        <v>92</v>
      </c>
      <c r="H7" s="11">
        <v>2.0</v>
      </c>
      <c r="I7" s="11">
        <v>1.0</v>
      </c>
      <c r="J7" s="11">
        <v>1.0</v>
      </c>
      <c r="K7" s="11">
        <v>8.0</v>
      </c>
      <c r="L7" s="11">
        <v>0.0</v>
      </c>
      <c r="M7" s="15"/>
      <c r="N7" s="11" t="s">
        <v>84</v>
      </c>
      <c r="O7" s="15"/>
      <c r="P7" s="40" t="s">
        <v>96</v>
      </c>
      <c r="Q7" s="40" t="s">
        <v>97</v>
      </c>
      <c r="R7" s="15"/>
      <c r="S7" s="15"/>
      <c r="T7" s="15"/>
    </row>
    <row r="8">
      <c r="A8" s="11">
        <v>7.0</v>
      </c>
      <c r="B8" s="11" t="s">
        <v>71</v>
      </c>
      <c r="C8" s="11" t="s">
        <v>98</v>
      </c>
      <c r="D8" s="11" t="s">
        <v>99</v>
      </c>
      <c r="E8" s="11">
        <v>3.0</v>
      </c>
      <c r="F8" s="11">
        <v>3.0</v>
      </c>
      <c r="G8" s="37" t="s">
        <v>100</v>
      </c>
      <c r="H8" s="11">
        <v>4.0</v>
      </c>
      <c r="I8" s="11">
        <v>0.0</v>
      </c>
      <c r="J8" s="11">
        <v>2.0</v>
      </c>
      <c r="K8" s="11">
        <v>8.0</v>
      </c>
      <c r="L8" s="11">
        <v>1.0</v>
      </c>
      <c r="M8" s="15"/>
      <c r="N8" s="11" t="s">
        <v>101</v>
      </c>
      <c r="O8" s="15"/>
      <c r="P8" s="40" t="s">
        <v>102</v>
      </c>
      <c r="Q8" s="40" t="s">
        <v>103</v>
      </c>
      <c r="R8" s="15"/>
      <c r="S8" s="15"/>
      <c r="T8" s="15"/>
    </row>
    <row r="9">
      <c r="A9" s="11">
        <v>8.0</v>
      </c>
      <c r="B9" s="11" t="s">
        <v>71</v>
      </c>
      <c r="C9" s="11" t="s">
        <v>104</v>
      </c>
      <c r="D9" s="11" t="s">
        <v>16</v>
      </c>
      <c r="E9" s="11">
        <v>3.0</v>
      </c>
      <c r="F9" s="11">
        <v>3.0</v>
      </c>
      <c r="G9" s="37" t="s">
        <v>100</v>
      </c>
      <c r="H9" s="11">
        <v>4.0</v>
      </c>
      <c r="I9" s="11">
        <v>0.0</v>
      </c>
      <c r="J9" s="11">
        <v>2.0</v>
      </c>
      <c r="K9" s="11">
        <v>10.0</v>
      </c>
      <c r="L9" s="11">
        <v>0.0</v>
      </c>
      <c r="M9" s="11" t="s">
        <v>7</v>
      </c>
      <c r="N9" s="11" t="s">
        <v>75</v>
      </c>
      <c r="O9" s="15"/>
      <c r="P9" s="39"/>
      <c r="Q9" s="40" t="s">
        <v>105</v>
      </c>
      <c r="R9" s="15"/>
      <c r="S9" s="15"/>
      <c r="T9" s="15"/>
    </row>
    <row r="10">
      <c r="A10" s="11">
        <v>9.0</v>
      </c>
      <c r="B10" s="11" t="s">
        <v>71</v>
      </c>
      <c r="C10" s="11" t="s">
        <v>106</v>
      </c>
      <c r="D10" s="11" t="s">
        <v>20</v>
      </c>
      <c r="E10" s="11">
        <v>3.0</v>
      </c>
      <c r="F10" s="11">
        <v>4.0</v>
      </c>
      <c r="G10" s="37" t="s">
        <v>107</v>
      </c>
      <c r="H10" s="11">
        <v>2.0</v>
      </c>
      <c r="I10" s="11">
        <v>0.0</v>
      </c>
      <c r="J10" s="11">
        <v>0.0</v>
      </c>
      <c r="K10" s="11">
        <v>6.0</v>
      </c>
      <c r="L10" s="11">
        <v>0.0</v>
      </c>
      <c r="M10" s="11" t="s">
        <v>108</v>
      </c>
      <c r="N10" s="11" t="s">
        <v>75</v>
      </c>
      <c r="O10" s="15"/>
      <c r="P10" s="40" t="s">
        <v>109</v>
      </c>
      <c r="Q10" s="40" t="s">
        <v>110</v>
      </c>
      <c r="R10" s="15"/>
      <c r="S10" s="15"/>
      <c r="T10" s="15"/>
    </row>
    <row r="11">
      <c r="A11" s="11">
        <v>10.0</v>
      </c>
      <c r="B11" s="11" t="s">
        <v>71</v>
      </c>
      <c r="C11" s="11" t="s">
        <v>111</v>
      </c>
      <c r="D11" s="11" t="s">
        <v>19</v>
      </c>
      <c r="E11" s="11">
        <v>3.0</v>
      </c>
      <c r="F11" s="11">
        <v>4.0</v>
      </c>
      <c r="G11" s="37" t="s">
        <v>107</v>
      </c>
      <c r="H11" s="11">
        <v>0.0</v>
      </c>
      <c r="I11" s="11">
        <v>2.0</v>
      </c>
      <c r="J11" s="11" t="s">
        <v>113</v>
      </c>
      <c r="K11" s="11">
        <v>5.0</v>
      </c>
      <c r="L11" s="11">
        <v>0.0</v>
      </c>
      <c r="M11" s="15"/>
      <c r="N11" s="11" t="s">
        <v>84</v>
      </c>
      <c r="O11" s="15"/>
      <c r="P11" s="40" t="s">
        <v>114</v>
      </c>
      <c r="Q11" s="40" t="s">
        <v>115</v>
      </c>
      <c r="R11" s="15"/>
      <c r="S11" s="15"/>
      <c r="T11" s="15"/>
    </row>
    <row r="12">
      <c r="A12" s="11">
        <v>11.0</v>
      </c>
      <c r="B12" s="11" t="s">
        <v>71</v>
      </c>
      <c r="C12" s="11" t="s">
        <v>116</v>
      </c>
      <c r="D12" s="11" t="s">
        <v>24</v>
      </c>
      <c r="E12" s="11">
        <v>3.0</v>
      </c>
      <c r="F12" s="11">
        <v>6.0</v>
      </c>
      <c r="G12" s="37" t="s">
        <v>117</v>
      </c>
      <c r="H12" s="11">
        <v>5.0</v>
      </c>
      <c r="I12" s="11">
        <v>0.0</v>
      </c>
      <c r="J12" s="11">
        <v>2.0</v>
      </c>
      <c r="K12" s="11">
        <v>8.0</v>
      </c>
      <c r="L12" s="11">
        <v>0.0</v>
      </c>
      <c r="M12" s="11" t="s">
        <v>108</v>
      </c>
      <c r="N12" s="11" t="s">
        <v>75</v>
      </c>
      <c r="O12" s="15"/>
      <c r="P12" s="40" t="s">
        <v>118</v>
      </c>
      <c r="Q12" s="40" t="s">
        <v>119</v>
      </c>
      <c r="R12" s="15"/>
      <c r="S12" s="15"/>
      <c r="T12" s="15"/>
    </row>
    <row r="13">
      <c r="A13" s="11">
        <v>12.0</v>
      </c>
      <c r="B13" s="11" t="s">
        <v>71</v>
      </c>
      <c r="C13" s="11" t="s">
        <v>120</v>
      </c>
      <c r="D13" s="11" t="s">
        <v>25</v>
      </c>
      <c r="E13" s="11">
        <v>3.0</v>
      </c>
      <c r="F13" s="11">
        <v>6.0</v>
      </c>
      <c r="G13" s="37" t="s">
        <v>117</v>
      </c>
      <c r="H13" s="11">
        <v>5.0</v>
      </c>
      <c r="I13" s="11">
        <v>0.0</v>
      </c>
      <c r="J13" s="11">
        <v>3.0</v>
      </c>
      <c r="K13" s="11">
        <v>12.0</v>
      </c>
      <c r="L13" s="11">
        <v>2.0</v>
      </c>
      <c r="M13" s="11" t="s">
        <v>7</v>
      </c>
      <c r="N13" s="11" t="s">
        <v>75</v>
      </c>
      <c r="O13" s="15"/>
      <c r="P13" s="39"/>
      <c r="Q13" s="40" t="s">
        <v>121</v>
      </c>
      <c r="R13" s="15"/>
      <c r="S13" s="15"/>
      <c r="T13" s="15"/>
    </row>
    <row r="14">
      <c r="A14" s="11">
        <v>13.0</v>
      </c>
      <c r="B14" s="11" t="s">
        <v>71</v>
      </c>
      <c r="C14" s="11" t="s">
        <v>122</v>
      </c>
      <c r="D14" s="11" t="s">
        <v>123</v>
      </c>
      <c r="E14" s="11">
        <v>3.0</v>
      </c>
      <c r="F14" s="11">
        <v>6.0</v>
      </c>
      <c r="G14" s="37" t="s">
        <v>117</v>
      </c>
      <c r="H14" s="11">
        <v>4.0</v>
      </c>
      <c r="I14" s="11">
        <v>1.0</v>
      </c>
      <c r="J14" s="11">
        <v>1.0</v>
      </c>
      <c r="K14" s="11">
        <v>10.0</v>
      </c>
      <c r="L14" s="11">
        <v>0.0</v>
      </c>
      <c r="M14" s="11" t="s">
        <v>108</v>
      </c>
      <c r="N14" s="11" t="s">
        <v>75</v>
      </c>
      <c r="O14" s="15"/>
      <c r="P14" s="40" t="s">
        <v>124</v>
      </c>
      <c r="Q14" s="40" t="s">
        <v>125</v>
      </c>
      <c r="R14" s="15"/>
      <c r="S14" s="15"/>
      <c r="T14" s="15"/>
    </row>
    <row r="15">
      <c r="A15" s="11">
        <v>14.0</v>
      </c>
      <c r="B15" s="11" t="s">
        <v>71</v>
      </c>
      <c r="C15" s="11" t="s">
        <v>126</v>
      </c>
      <c r="D15" s="11" t="s">
        <v>127</v>
      </c>
      <c r="E15" s="11">
        <v>3.0</v>
      </c>
      <c r="F15" s="11">
        <v>6.0</v>
      </c>
      <c r="G15" s="37" t="s">
        <v>107</v>
      </c>
      <c r="H15" s="11">
        <v>4.0</v>
      </c>
      <c r="I15" s="11">
        <v>2.0</v>
      </c>
      <c r="J15" s="11">
        <v>2.0</v>
      </c>
      <c r="K15" s="11">
        <v>8.0</v>
      </c>
      <c r="L15" s="11">
        <v>1.0</v>
      </c>
      <c r="M15" s="11" t="s">
        <v>108</v>
      </c>
      <c r="N15" s="11" t="s">
        <v>84</v>
      </c>
      <c r="O15" s="15"/>
      <c r="P15" s="40" t="s">
        <v>128</v>
      </c>
      <c r="Q15" s="40" t="s">
        <v>129</v>
      </c>
      <c r="R15" s="15"/>
      <c r="S15" s="15"/>
      <c r="T15" s="15"/>
    </row>
    <row r="16">
      <c r="A16" s="11">
        <v>15.0</v>
      </c>
      <c r="B16" s="11" t="s">
        <v>130</v>
      </c>
      <c r="C16" s="11" t="s">
        <v>131</v>
      </c>
      <c r="D16" s="11" t="s">
        <v>28</v>
      </c>
      <c r="E16" s="11">
        <v>2.0</v>
      </c>
      <c r="F16" s="11" t="s">
        <v>132</v>
      </c>
      <c r="G16" s="37" t="s">
        <v>107</v>
      </c>
      <c r="H16" s="15"/>
      <c r="I16" s="11" t="s">
        <v>133</v>
      </c>
      <c r="J16" s="15"/>
      <c r="K16" s="15"/>
      <c r="L16" s="15"/>
      <c r="M16" s="15"/>
      <c r="N16" s="11" t="s">
        <v>134</v>
      </c>
      <c r="O16" s="15"/>
      <c r="P16" s="40" t="s">
        <v>135</v>
      </c>
      <c r="Q16" s="40" t="s">
        <v>136</v>
      </c>
      <c r="R16" s="15"/>
      <c r="S16" s="15"/>
      <c r="T16" s="15"/>
    </row>
    <row r="17">
      <c r="A17" s="11">
        <v>16.0</v>
      </c>
      <c r="B17" s="11" t="s">
        <v>130</v>
      </c>
      <c r="C17" s="11" t="s">
        <v>137</v>
      </c>
      <c r="D17" s="11" t="s">
        <v>30</v>
      </c>
      <c r="E17" s="11">
        <v>2.0</v>
      </c>
      <c r="F17" s="11" t="s">
        <v>132</v>
      </c>
      <c r="G17" s="37" t="s">
        <v>92</v>
      </c>
      <c r="H17" s="11" t="s">
        <v>138</v>
      </c>
      <c r="I17" s="15"/>
      <c r="J17" s="15"/>
      <c r="K17" s="15"/>
      <c r="L17" s="15"/>
      <c r="M17" s="15"/>
      <c r="N17" s="11" t="s">
        <v>139</v>
      </c>
      <c r="O17" s="11">
        <v>3.0</v>
      </c>
      <c r="P17" s="40" t="s">
        <v>140</v>
      </c>
      <c r="Q17" s="40" t="s">
        <v>136</v>
      </c>
      <c r="R17" s="15"/>
      <c r="S17" s="15"/>
      <c r="T17" s="15"/>
    </row>
    <row r="18">
      <c r="A18" s="11">
        <v>17.0</v>
      </c>
      <c r="B18" s="11" t="s">
        <v>130</v>
      </c>
      <c r="C18" s="11" t="s">
        <v>141</v>
      </c>
      <c r="D18" s="11" t="s">
        <v>142</v>
      </c>
      <c r="E18" s="11">
        <v>2.0</v>
      </c>
      <c r="F18" s="11" t="s">
        <v>132</v>
      </c>
      <c r="G18" s="37" t="s">
        <v>83</v>
      </c>
      <c r="H18" s="11" t="s">
        <v>138</v>
      </c>
      <c r="I18" s="15"/>
      <c r="J18" s="15"/>
      <c r="K18" s="15"/>
      <c r="L18" s="15"/>
      <c r="M18" s="15"/>
      <c r="N18" s="11" t="s">
        <v>143</v>
      </c>
      <c r="O18" s="15"/>
      <c r="P18" s="40" t="s">
        <v>144</v>
      </c>
      <c r="Q18" s="40" t="s">
        <v>136</v>
      </c>
      <c r="R18" s="15"/>
      <c r="S18" s="15"/>
      <c r="T18" s="15"/>
    </row>
    <row r="19">
      <c r="A19" s="11" t="s">
        <v>145</v>
      </c>
      <c r="B19" s="11" t="s">
        <v>130</v>
      </c>
      <c r="C19" s="11" t="s">
        <v>146</v>
      </c>
      <c r="D19" s="11" t="s">
        <v>147</v>
      </c>
      <c r="E19" s="11">
        <v>12.0</v>
      </c>
      <c r="F19" s="11" t="s">
        <v>132</v>
      </c>
      <c r="G19" s="37" t="s">
        <v>92</v>
      </c>
      <c r="H19" s="15"/>
      <c r="I19" s="15"/>
      <c r="J19" s="15"/>
      <c r="K19" s="11" t="s">
        <v>148</v>
      </c>
      <c r="L19" s="15"/>
      <c r="M19" s="15"/>
      <c r="N19" s="11" t="s">
        <v>149</v>
      </c>
      <c r="O19" s="11">
        <v>1.0</v>
      </c>
      <c r="P19" s="40" t="s">
        <v>150</v>
      </c>
      <c r="Q19" s="40" t="s">
        <v>136</v>
      </c>
      <c r="R19" s="15"/>
      <c r="S19" s="15"/>
      <c r="T19" s="15"/>
    </row>
    <row r="20">
      <c r="A20" s="11" t="s">
        <v>151</v>
      </c>
      <c r="B20" s="11" t="s">
        <v>130</v>
      </c>
      <c r="C20" s="11" t="s">
        <v>152</v>
      </c>
      <c r="D20" s="11" t="s">
        <v>153</v>
      </c>
      <c r="E20" s="11">
        <v>6.0</v>
      </c>
      <c r="F20" s="11" t="s">
        <v>132</v>
      </c>
      <c r="G20" s="37" t="s">
        <v>100</v>
      </c>
      <c r="H20" s="15"/>
      <c r="I20" s="15"/>
      <c r="J20" s="15"/>
      <c r="K20" s="11" t="s">
        <v>154</v>
      </c>
      <c r="L20" s="15"/>
      <c r="M20" s="15"/>
      <c r="N20" s="11" t="s">
        <v>149</v>
      </c>
      <c r="O20" s="11">
        <v>5.0</v>
      </c>
      <c r="P20" s="40" t="s">
        <v>155</v>
      </c>
      <c r="Q20" s="40" t="s">
        <v>136</v>
      </c>
      <c r="R20" s="15"/>
      <c r="S20" s="15"/>
      <c r="T20" s="15"/>
    </row>
    <row r="21">
      <c r="A21" s="11" t="s">
        <v>156</v>
      </c>
      <c r="B21" s="11" t="s">
        <v>130</v>
      </c>
      <c r="C21" s="11" t="s">
        <v>157</v>
      </c>
      <c r="D21" s="11" t="s">
        <v>158</v>
      </c>
      <c r="E21" s="11">
        <v>4.0</v>
      </c>
      <c r="F21" s="11" t="s">
        <v>132</v>
      </c>
      <c r="G21" s="37" t="s">
        <v>159</v>
      </c>
      <c r="H21" s="15"/>
      <c r="I21" s="15"/>
      <c r="J21" s="15"/>
      <c r="K21" s="11" t="s">
        <v>160</v>
      </c>
      <c r="L21" s="15"/>
      <c r="M21" s="15"/>
      <c r="N21" s="11" t="s">
        <v>149</v>
      </c>
      <c r="O21" s="11">
        <v>15.0</v>
      </c>
      <c r="P21" s="40" t="s">
        <v>161</v>
      </c>
      <c r="Q21" s="40" t="s">
        <v>136</v>
      </c>
      <c r="R21" s="15"/>
      <c r="S21" s="15"/>
      <c r="T21" s="15"/>
    </row>
    <row r="22">
      <c r="A22" s="11">
        <v>19.0</v>
      </c>
      <c r="B22" s="11" t="s">
        <v>162</v>
      </c>
      <c r="C22" s="11" t="s">
        <v>163</v>
      </c>
      <c r="D22" s="11" t="s">
        <v>32</v>
      </c>
      <c r="E22" s="11">
        <v>4.0</v>
      </c>
      <c r="F22" s="11" t="s">
        <v>132</v>
      </c>
      <c r="G22" s="37" t="s">
        <v>100</v>
      </c>
      <c r="H22" s="15"/>
      <c r="I22" s="15"/>
      <c r="J22" s="15"/>
      <c r="K22" s="15"/>
      <c r="L22" s="15"/>
      <c r="M22" s="15"/>
      <c r="N22" s="11" t="s">
        <v>164</v>
      </c>
      <c r="O22" s="11">
        <v>5.0</v>
      </c>
      <c r="P22" s="39"/>
      <c r="Q22" s="40" t="s">
        <v>136</v>
      </c>
      <c r="R22" s="15"/>
      <c r="S22" s="15"/>
      <c r="T22" s="15"/>
    </row>
    <row r="23">
      <c r="A23" s="11">
        <v>20.0</v>
      </c>
      <c r="B23" s="11" t="s">
        <v>162</v>
      </c>
      <c r="C23" s="11" t="s">
        <v>165</v>
      </c>
      <c r="D23" s="11" t="s">
        <v>34</v>
      </c>
      <c r="E23" s="11">
        <v>2.0</v>
      </c>
      <c r="F23" s="11" t="s">
        <v>132</v>
      </c>
      <c r="G23" s="37" t="s">
        <v>107</v>
      </c>
      <c r="H23" s="15"/>
      <c r="I23" s="15"/>
      <c r="J23" s="15"/>
      <c r="K23" s="15"/>
      <c r="L23" s="15"/>
      <c r="M23" s="15"/>
      <c r="N23" s="11" t="s">
        <v>166</v>
      </c>
      <c r="O23" s="11">
        <v>3.0</v>
      </c>
      <c r="P23" s="40" t="s">
        <v>167</v>
      </c>
      <c r="Q23" s="40" t="s">
        <v>136</v>
      </c>
      <c r="R23" s="15"/>
      <c r="S23" s="15"/>
      <c r="T23" s="15"/>
    </row>
    <row r="24">
      <c r="A24" s="11">
        <v>21.0</v>
      </c>
      <c r="B24" s="11" t="s">
        <v>162</v>
      </c>
      <c r="C24" s="11" t="s">
        <v>168</v>
      </c>
      <c r="D24" s="11" t="s">
        <v>36</v>
      </c>
      <c r="E24" s="11">
        <v>2.0</v>
      </c>
      <c r="F24" s="11" t="s">
        <v>132</v>
      </c>
      <c r="G24" s="37" t="s">
        <v>107</v>
      </c>
      <c r="H24" s="15"/>
      <c r="I24" s="15"/>
      <c r="J24" s="15"/>
      <c r="K24" s="15"/>
      <c r="L24" s="15"/>
      <c r="M24" s="15"/>
      <c r="N24" s="11" t="s">
        <v>164</v>
      </c>
      <c r="O24" s="11">
        <v>10.0</v>
      </c>
      <c r="P24" s="39"/>
      <c r="Q24" s="40" t="s">
        <v>136</v>
      </c>
      <c r="R24" s="15"/>
      <c r="S24" s="15"/>
      <c r="T24" s="15"/>
    </row>
    <row r="25">
      <c r="A25" s="11">
        <v>22.0</v>
      </c>
      <c r="B25" s="11" t="s">
        <v>162</v>
      </c>
      <c r="C25" s="11" t="s">
        <v>169</v>
      </c>
      <c r="D25" s="11" t="s">
        <v>35</v>
      </c>
      <c r="E25" s="11">
        <v>2.0</v>
      </c>
      <c r="F25" s="11" t="s">
        <v>132</v>
      </c>
      <c r="G25" s="37" t="s">
        <v>170</v>
      </c>
      <c r="H25" s="15"/>
      <c r="I25" s="11" t="s">
        <v>133</v>
      </c>
      <c r="J25" s="15"/>
      <c r="K25" s="15"/>
      <c r="L25" s="15"/>
      <c r="M25" s="15"/>
      <c r="N25" s="11" t="s">
        <v>166</v>
      </c>
      <c r="O25" s="11">
        <v>7.0</v>
      </c>
      <c r="P25" s="40" t="s">
        <v>171</v>
      </c>
      <c r="Q25" s="40" t="s">
        <v>136</v>
      </c>
      <c r="R25" s="15"/>
      <c r="S25" s="15"/>
      <c r="T25" s="15"/>
    </row>
    <row r="26">
      <c r="A26" s="11">
        <v>23.0</v>
      </c>
      <c r="B26" s="11" t="s">
        <v>162</v>
      </c>
      <c r="C26" s="11" t="s">
        <v>172</v>
      </c>
      <c r="D26" s="11" t="s">
        <v>173</v>
      </c>
      <c r="E26" s="11">
        <v>2.0</v>
      </c>
      <c r="F26" s="11" t="s">
        <v>132</v>
      </c>
      <c r="G26" s="37" t="s">
        <v>117</v>
      </c>
      <c r="H26" s="15"/>
      <c r="I26" s="15"/>
      <c r="J26" s="15"/>
      <c r="K26" s="15"/>
      <c r="L26" s="15"/>
      <c r="M26" s="15"/>
      <c r="N26" s="11" t="s">
        <v>164</v>
      </c>
      <c r="O26" s="11">
        <v>20.0</v>
      </c>
      <c r="P26" s="39"/>
      <c r="Q26" s="40" t="s">
        <v>136</v>
      </c>
      <c r="R26" s="15"/>
      <c r="S26" s="15"/>
      <c r="T26" s="15"/>
    </row>
    <row r="27">
      <c r="A27" s="11">
        <v>24.0</v>
      </c>
      <c r="B27" s="11" t="s">
        <v>174</v>
      </c>
      <c r="C27" s="11" t="s">
        <v>175</v>
      </c>
      <c r="D27" s="11" t="s">
        <v>39</v>
      </c>
      <c r="E27" s="11">
        <v>4.0</v>
      </c>
      <c r="F27" s="11" t="s">
        <v>132</v>
      </c>
      <c r="G27" s="37" t="s">
        <v>176</v>
      </c>
      <c r="H27" s="15"/>
      <c r="I27" s="11">
        <v>2.0</v>
      </c>
      <c r="J27" s="15"/>
      <c r="K27" s="15"/>
      <c r="L27" s="15"/>
      <c r="M27" s="15"/>
      <c r="N27" s="11" t="s">
        <v>177</v>
      </c>
      <c r="O27" s="11">
        <v>1.0</v>
      </c>
      <c r="P27" s="40" t="s">
        <v>178</v>
      </c>
      <c r="Q27" s="40" t="s">
        <v>136</v>
      </c>
      <c r="R27" s="15"/>
      <c r="S27" s="15"/>
      <c r="T27" s="15"/>
    </row>
    <row r="28">
      <c r="A28" s="11">
        <v>25.0</v>
      </c>
      <c r="B28" s="11" t="s">
        <v>174</v>
      </c>
      <c r="C28" s="11" t="s">
        <v>179</v>
      </c>
      <c r="D28" s="11" t="s">
        <v>41</v>
      </c>
      <c r="E28" s="11">
        <v>2.0</v>
      </c>
      <c r="F28" s="11" t="s">
        <v>132</v>
      </c>
      <c r="G28" s="37" t="s">
        <v>100</v>
      </c>
      <c r="H28" s="11" t="s">
        <v>180</v>
      </c>
      <c r="I28" s="15"/>
      <c r="J28" s="15"/>
      <c r="K28" s="15"/>
      <c r="L28" s="15"/>
      <c r="M28" s="15"/>
      <c r="N28" s="11" t="s">
        <v>181</v>
      </c>
      <c r="O28" s="11">
        <v>-2.0</v>
      </c>
      <c r="P28" s="40" t="s">
        <v>182</v>
      </c>
      <c r="Q28" s="40" t="s">
        <v>136</v>
      </c>
      <c r="R28" s="15"/>
      <c r="S28" s="15"/>
      <c r="T28" s="15"/>
    </row>
    <row r="29">
      <c r="A29" s="11">
        <v>26.0</v>
      </c>
      <c r="B29" s="11" t="s">
        <v>174</v>
      </c>
      <c r="C29" s="11" t="s">
        <v>183</v>
      </c>
      <c r="D29" s="11" t="s">
        <v>42</v>
      </c>
      <c r="E29" s="11">
        <v>2.0</v>
      </c>
      <c r="F29" s="11" t="s">
        <v>132</v>
      </c>
      <c r="G29" s="37" t="s">
        <v>184</v>
      </c>
      <c r="H29" s="15"/>
      <c r="I29" s="11">
        <v>4.0</v>
      </c>
      <c r="J29" s="15"/>
      <c r="K29" s="15"/>
      <c r="L29" s="15"/>
      <c r="M29" s="15"/>
      <c r="N29" s="11" t="s">
        <v>177</v>
      </c>
      <c r="O29" s="11">
        <v>3.0</v>
      </c>
      <c r="P29" s="40" t="s">
        <v>185</v>
      </c>
      <c r="Q29" s="40" t="s">
        <v>136</v>
      </c>
      <c r="R29" s="15"/>
      <c r="S29" s="15"/>
      <c r="T29" s="15"/>
    </row>
    <row r="30">
      <c r="A30" s="11">
        <v>27.0</v>
      </c>
      <c r="B30" s="11" t="s">
        <v>174</v>
      </c>
      <c r="C30" s="11" t="s">
        <v>186</v>
      </c>
      <c r="D30" s="11" t="s">
        <v>40</v>
      </c>
      <c r="E30" s="11">
        <v>2.0</v>
      </c>
      <c r="F30" s="11" t="s">
        <v>132</v>
      </c>
      <c r="G30" s="37" t="s">
        <v>107</v>
      </c>
      <c r="H30" s="15"/>
      <c r="I30" s="15"/>
      <c r="J30" s="11" t="s">
        <v>180</v>
      </c>
      <c r="K30" s="15"/>
      <c r="L30" s="15"/>
      <c r="M30" s="15"/>
      <c r="N30" s="11" t="s">
        <v>181</v>
      </c>
      <c r="O30" s="11">
        <v>-4.0</v>
      </c>
      <c r="P30" s="40" t="s">
        <v>187</v>
      </c>
      <c r="Q30" s="40" t="s">
        <v>136</v>
      </c>
      <c r="R30" s="15"/>
      <c r="S30" s="15"/>
      <c r="T30" s="15"/>
    </row>
    <row r="31">
      <c r="A31" s="11">
        <v>28.0</v>
      </c>
      <c r="B31" s="11" t="s">
        <v>174</v>
      </c>
      <c r="C31" s="11" t="s">
        <v>188</v>
      </c>
      <c r="D31" s="11" t="s">
        <v>38</v>
      </c>
      <c r="E31" s="11">
        <v>2.0</v>
      </c>
      <c r="F31" s="11" t="s">
        <v>132</v>
      </c>
      <c r="G31" s="37" t="s">
        <v>159</v>
      </c>
      <c r="H31" s="15"/>
      <c r="I31" s="15"/>
      <c r="J31" s="15"/>
      <c r="K31" s="11" t="s">
        <v>189</v>
      </c>
      <c r="L31" s="15"/>
      <c r="M31" s="15"/>
      <c r="N31" s="11" t="s">
        <v>190</v>
      </c>
      <c r="O31" s="15"/>
      <c r="P31" s="40" t="s">
        <v>191</v>
      </c>
      <c r="Q31" s="40" t="s">
        <v>136</v>
      </c>
      <c r="R31" s="15"/>
      <c r="S31" s="15"/>
      <c r="T31" s="15"/>
    </row>
    <row r="32">
      <c r="A32" s="11">
        <v>29.0</v>
      </c>
      <c r="B32" s="11" t="s">
        <v>192</v>
      </c>
      <c r="C32" s="11" t="s">
        <v>193</v>
      </c>
      <c r="D32" s="11" t="s">
        <v>194</v>
      </c>
      <c r="E32" s="11">
        <v>4.0</v>
      </c>
      <c r="F32" s="11" t="s">
        <v>132</v>
      </c>
      <c r="G32" s="11" t="s">
        <v>195</v>
      </c>
      <c r="H32" s="15"/>
      <c r="I32" s="15"/>
      <c r="J32" s="15"/>
      <c r="K32" s="15"/>
      <c r="L32" s="15"/>
      <c r="M32" s="15"/>
      <c r="N32" s="11" t="s">
        <v>196</v>
      </c>
      <c r="O32" s="15"/>
      <c r="P32" s="39"/>
      <c r="Q32" s="39"/>
      <c r="R32" s="15"/>
      <c r="S32" s="15"/>
      <c r="T32" s="15"/>
    </row>
    <row r="33">
      <c r="A33" s="11">
        <v>30.0</v>
      </c>
      <c r="B33" s="11" t="s">
        <v>192</v>
      </c>
      <c r="C33" s="11" t="s">
        <v>197</v>
      </c>
      <c r="D33" s="11" t="s">
        <v>198</v>
      </c>
      <c r="E33" s="11">
        <v>3.0</v>
      </c>
      <c r="F33" s="11" t="s">
        <v>132</v>
      </c>
      <c r="G33" s="11" t="s">
        <v>199</v>
      </c>
      <c r="H33" s="15"/>
      <c r="I33" s="15"/>
      <c r="J33" s="15"/>
      <c r="K33" s="15"/>
      <c r="L33" s="15"/>
      <c r="M33" s="15"/>
      <c r="N33" s="11" t="s">
        <v>196</v>
      </c>
      <c r="O33" s="15"/>
      <c r="P33" s="39"/>
      <c r="Q33" s="39"/>
      <c r="R33" s="15"/>
      <c r="S33" s="15"/>
      <c r="T33" s="15"/>
    </row>
    <row r="34">
      <c r="A34" s="11">
        <v>31.0</v>
      </c>
      <c r="B34" s="11" t="s">
        <v>192</v>
      </c>
      <c r="C34" s="11" t="s">
        <v>201</v>
      </c>
      <c r="D34" s="11" t="s">
        <v>202</v>
      </c>
      <c r="E34" s="11">
        <v>3.0</v>
      </c>
      <c r="F34" s="11" t="s">
        <v>132</v>
      </c>
      <c r="G34" s="11" t="s">
        <v>203</v>
      </c>
      <c r="H34" s="15"/>
      <c r="I34" s="15"/>
      <c r="J34" s="15"/>
      <c r="K34" s="15"/>
      <c r="L34" s="15"/>
      <c r="M34" s="15"/>
      <c r="N34" s="11" t="s">
        <v>196</v>
      </c>
      <c r="O34" s="15"/>
      <c r="P34" s="39"/>
      <c r="Q34" s="39"/>
      <c r="R34" s="15"/>
      <c r="S34" s="15"/>
      <c r="T34" s="15"/>
    </row>
    <row r="35">
      <c r="A35" s="11">
        <v>32.0</v>
      </c>
      <c r="B35" s="11" t="s">
        <v>192</v>
      </c>
      <c r="C35" s="11" t="s">
        <v>204</v>
      </c>
      <c r="D35" s="11" t="s">
        <v>205</v>
      </c>
      <c r="E35" s="11">
        <v>2.0</v>
      </c>
      <c r="F35" s="11" t="s">
        <v>132</v>
      </c>
      <c r="G35" s="11" t="s">
        <v>206</v>
      </c>
      <c r="H35" s="15"/>
      <c r="I35" s="15"/>
      <c r="J35" s="15"/>
      <c r="K35" s="15"/>
      <c r="L35" s="15"/>
      <c r="M35" s="15"/>
      <c r="N35" s="11" t="s">
        <v>196</v>
      </c>
      <c r="O35" s="15"/>
      <c r="P35" s="39"/>
      <c r="Q35" s="39"/>
      <c r="R35" s="15"/>
      <c r="S35" s="15"/>
      <c r="T35" s="15"/>
    </row>
    <row r="36">
      <c r="A36" s="11">
        <v>33.0</v>
      </c>
      <c r="B36" s="11" t="s">
        <v>207</v>
      </c>
      <c r="C36" s="11" t="s">
        <v>208</v>
      </c>
      <c r="D36" s="11" t="s">
        <v>46</v>
      </c>
      <c r="E36" s="11">
        <v>1.0</v>
      </c>
      <c r="F36" s="11" t="s">
        <v>108</v>
      </c>
      <c r="G36" s="15"/>
      <c r="H36" s="11">
        <v>2.0</v>
      </c>
      <c r="I36" s="15"/>
      <c r="J36" s="11">
        <v>0.0</v>
      </c>
      <c r="K36" s="11">
        <v>10.0</v>
      </c>
      <c r="L36" s="11">
        <v>0.0</v>
      </c>
      <c r="M36" s="15"/>
      <c r="N36" s="11" t="s">
        <v>209</v>
      </c>
      <c r="O36" s="15"/>
      <c r="P36" s="39"/>
      <c r="Q36" s="39"/>
      <c r="R36" s="15"/>
      <c r="S36" s="15"/>
      <c r="T36" s="15"/>
    </row>
    <row r="37">
      <c r="A37" s="11">
        <v>34.0</v>
      </c>
      <c r="B37" s="11" t="s">
        <v>207</v>
      </c>
      <c r="C37" s="11" t="s">
        <v>210</v>
      </c>
      <c r="D37" s="11" t="s">
        <v>48</v>
      </c>
      <c r="E37" s="11">
        <v>1.0</v>
      </c>
      <c r="F37" s="11" t="s">
        <v>108</v>
      </c>
      <c r="G37" s="15"/>
      <c r="H37" s="11">
        <v>2.0</v>
      </c>
      <c r="I37" s="15"/>
      <c r="J37" s="11">
        <v>0.0</v>
      </c>
      <c r="K37" s="11">
        <v>10.0</v>
      </c>
      <c r="L37" s="11">
        <v>0.0</v>
      </c>
      <c r="M37" s="15"/>
      <c r="N37" s="11" t="s">
        <v>209</v>
      </c>
      <c r="O37" s="15"/>
      <c r="P37" s="39"/>
      <c r="Q37" s="39"/>
      <c r="R37" s="15"/>
      <c r="S37" s="15"/>
      <c r="T37" s="15"/>
    </row>
    <row r="38">
      <c r="A38" s="11">
        <v>35.0</v>
      </c>
      <c r="B38" s="11" t="s">
        <v>207</v>
      </c>
      <c r="C38" s="11" t="s">
        <v>211</v>
      </c>
      <c r="D38" s="11" t="s">
        <v>44</v>
      </c>
      <c r="E38" s="11">
        <v>1.0</v>
      </c>
      <c r="F38" s="11" t="s">
        <v>108</v>
      </c>
      <c r="G38" s="15"/>
      <c r="H38" s="11">
        <v>2.0</v>
      </c>
      <c r="I38" s="15"/>
      <c r="J38" s="11">
        <v>0.0</v>
      </c>
      <c r="K38" s="11">
        <v>10.0</v>
      </c>
      <c r="L38" s="11">
        <v>0.0</v>
      </c>
      <c r="M38" s="15"/>
      <c r="N38" s="11" t="s">
        <v>209</v>
      </c>
      <c r="O38" s="15"/>
      <c r="P38" s="39"/>
      <c r="Q38" s="39"/>
      <c r="R38" s="15"/>
      <c r="S38" s="15"/>
      <c r="T38" s="15"/>
    </row>
    <row r="39">
      <c r="A39" s="11">
        <v>36.0</v>
      </c>
      <c r="B39" s="11" t="s">
        <v>207</v>
      </c>
      <c r="C39" s="11" t="s">
        <v>212</v>
      </c>
      <c r="D39" s="11" t="s">
        <v>45</v>
      </c>
      <c r="E39" s="11">
        <v>1.0</v>
      </c>
      <c r="F39" s="11" t="s">
        <v>108</v>
      </c>
      <c r="G39" s="15"/>
      <c r="H39" s="11">
        <v>2.0</v>
      </c>
      <c r="I39" s="15"/>
      <c r="J39" s="11">
        <v>0.0</v>
      </c>
      <c r="K39" s="11">
        <v>10.0</v>
      </c>
      <c r="L39" s="11">
        <v>0.0</v>
      </c>
      <c r="M39" s="15"/>
      <c r="N39" s="11" t="s">
        <v>209</v>
      </c>
      <c r="O39" s="15"/>
      <c r="P39" s="39"/>
      <c r="Q39" s="39"/>
      <c r="R39" s="15"/>
      <c r="S39" s="15"/>
      <c r="T39" s="15"/>
    </row>
    <row r="40">
      <c r="A40" s="11">
        <v>37.0</v>
      </c>
      <c r="B40" s="11" t="s">
        <v>207</v>
      </c>
      <c r="C40" s="11" t="s">
        <v>213</v>
      </c>
      <c r="D40" s="11" t="s">
        <v>47</v>
      </c>
      <c r="E40" s="11">
        <v>1.0</v>
      </c>
      <c r="F40" s="11" t="s">
        <v>108</v>
      </c>
      <c r="G40" s="15"/>
      <c r="H40" s="11">
        <v>2.0</v>
      </c>
      <c r="I40" s="15"/>
      <c r="J40" s="11">
        <v>0.0</v>
      </c>
      <c r="K40" s="11">
        <v>10.0</v>
      </c>
      <c r="L40" s="11">
        <v>0.0</v>
      </c>
      <c r="M40" s="15"/>
      <c r="N40" s="11" t="s">
        <v>209</v>
      </c>
      <c r="O40" s="15"/>
      <c r="P40" s="39"/>
      <c r="Q40" s="39"/>
      <c r="R40" s="15"/>
      <c r="S40" s="15"/>
      <c r="T40" s="15"/>
    </row>
    <row r="41">
      <c r="A41" s="11">
        <v>38.0</v>
      </c>
      <c r="B41" s="11" t="s">
        <v>207</v>
      </c>
      <c r="C41" s="11" t="s">
        <v>214</v>
      </c>
      <c r="D41" s="11" t="s">
        <v>49</v>
      </c>
      <c r="E41" s="11">
        <v>1.0</v>
      </c>
      <c r="F41" s="11" t="s">
        <v>108</v>
      </c>
      <c r="G41" s="15"/>
      <c r="H41" s="11">
        <v>2.0</v>
      </c>
      <c r="I41" s="15"/>
      <c r="J41" s="11">
        <v>0.0</v>
      </c>
      <c r="K41" s="11">
        <v>10.0</v>
      </c>
      <c r="L41" s="11">
        <v>0.0</v>
      </c>
      <c r="M41" s="15"/>
      <c r="N41" s="11" t="s">
        <v>209</v>
      </c>
      <c r="O41" s="15"/>
      <c r="P41" s="39"/>
      <c r="Q41" s="39"/>
      <c r="R41" s="15"/>
      <c r="S41" s="15"/>
      <c r="T41" s="15"/>
    </row>
    <row r="42">
      <c r="A42" s="15"/>
      <c r="B42" s="15"/>
      <c r="C42" s="15"/>
      <c r="D42" s="15"/>
      <c r="E42" s="15"/>
      <c r="F42" s="15"/>
      <c r="G42" s="15"/>
      <c r="H42" s="15"/>
      <c r="I42" s="15"/>
      <c r="J42" s="15"/>
      <c r="K42" s="15"/>
      <c r="L42" s="15"/>
      <c r="M42" s="15"/>
      <c r="N42" s="15"/>
      <c r="O42" s="15"/>
      <c r="P42" s="39"/>
      <c r="Q42" s="39"/>
      <c r="R42" s="15"/>
      <c r="S42" s="15"/>
      <c r="T42" s="15"/>
    </row>
    <row r="43">
      <c r="A43" s="15"/>
      <c r="B43" s="15"/>
      <c r="C43" s="15"/>
      <c r="D43" s="15"/>
      <c r="E43" s="15"/>
      <c r="F43" s="15"/>
      <c r="G43" s="15"/>
      <c r="H43" s="15"/>
      <c r="I43" s="15"/>
      <c r="J43" s="15"/>
      <c r="K43" s="15"/>
      <c r="L43" s="15"/>
      <c r="M43" s="15"/>
      <c r="N43" s="15"/>
      <c r="O43" s="15"/>
      <c r="P43" s="39"/>
      <c r="Q43" s="39"/>
      <c r="R43" s="15"/>
      <c r="S43" s="15"/>
      <c r="T43" s="15"/>
    </row>
    <row r="44">
      <c r="A44" s="15"/>
      <c r="B44" s="15"/>
      <c r="C44" s="15"/>
      <c r="D44" s="15"/>
      <c r="E44" s="15"/>
      <c r="F44" s="15"/>
      <c r="G44" s="15"/>
      <c r="H44" s="15"/>
      <c r="I44" s="15"/>
      <c r="J44" s="15"/>
      <c r="K44" s="15"/>
      <c r="L44" s="15"/>
      <c r="M44" s="15"/>
      <c r="N44" s="15"/>
      <c r="O44" s="15"/>
      <c r="P44" s="39"/>
      <c r="Q44" s="39"/>
      <c r="R44" s="15"/>
      <c r="S44" s="15"/>
      <c r="T44" s="15"/>
    </row>
    <row r="45">
      <c r="A45" s="15"/>
      <c r="B45" s="15"/>
      <c r="C45" s="15"/>
      <c r="D45" s="15"/>
      <c r="E45" s="15"/>
      <c r="F45" s="15"/>
      <c r="G45" s="15"/>
      <c r="H45" s="15"/>
      <c r="I45" s="15"/>
      <c r="J45" s="15"/>
      <c r="K45" s="15"/>
      <c r="L45" s="15"/>
      <c r="M45" s="15"/>
      <c r="N45" s="15"/>
      <c r="O45" s="15"/>
      <c r="P45" s="39"/>
      <c r="Q45" s="39"/>
      <c r="R45" s="15"/>
      <c r="S45" s="15"/>
      <c r="T45" s="15"/>
    </row>
    <row r="46">
      <c r="A46" s="15"/>
      <c r="B46" s="15"/>
      <c r="C46" s="15"/>
      <c r="D46" s="15"/>
      <c r="E46" s="15"/>
      <c r="F46" s="15"/>
      <c r="G46" s="15"/>
      <c r="H46" s="15"/>
      <c r="I46" s="15"/>
      <c r="J46" s="15"/>
      <c r="K46" s="15"/>
      <c r="L46" s="15"/>
      <c r="M46" s="15"/>
      <c r="N46" s="15"/>
      <c r="O46" s="15"/>
      <c r="P46" s="39"/>
      <c r="Q46" s="39"/>
      <c r="R46" s="15"/>
      <c r="S46" s="15"/>
      <c r="T46" s="15"/>
    </row>
    <row r="47">
      <c r="A47" s="15"/>
      <c r="B47" s="15"/>
      <c r="C47" s="15"/>
      <c r="D47" s="15"/>
      <c r="E47" s="15"/>
      <c r="F47" s="15"/>
      <c r="G47" s="15"/>
      <c r="H47" s="15"/>
      <c r="I47" s="15"/>
      <c r="J47" s="15"/>
      <c r="K47" s="15"/>
      <c r="L47" s="15"/>
      <c r="M47" s="15"/>
      <c r="N47" s="15"/>
      <c r="O47" s="15"/>
      <c r="P47" s="39"/>
      <c r="Q47" s="39"/>
      <c r="R47" s="15"/>
      <c r="S47" s="15"/>
      <c r="T47" s="15"/>
    </row>
    <row r="48">
      <c r="A48" s="15"/>
      <c r="B48" s="15"/>
      <c r="C48" s="15"/>
      <c r="D48" s="15"/>
      <c r="E48" s="15"/>
      <c r="F48" s="15"/>
      <c r="G48" s="15"/>
      <c r="H48" s="15"/>
      <c r="I48" s="15"/>
      <c r="J48" s="15"/>
      <c r="K48" s="15"/>
      <c r="L48" s="15"/>
      <c r="M48" s="15"/>
      <c r="N48" s="15"/>
      <c r="O48" s="15"/>
      <c r="P48" s="39"/>
      <c r="Q48" s="39"/>
      <c r="R48" s="15"/>
      <c r="S48" s="15"/>
      <c r="T48" s="15"/>
    </row>
    <row r="49">
      <c r="A49" s="15"/>
      <c r="B49" s="15"/>
      <c r="C49" s="15"/>
      <c r="D49" s="15"/>
      <c r="E49" s="15"/>
      <c r="F49" s="15"/>
      <c r="G49" s="15"/>
      <c r="H49" s="15"/>
      <c r="I49" s="15"/>
      <c r="J49" s="15"/>
      <c r="K49" s="15"/>
      <c r="L49" s="15"/>
      <c r="M49" s="15"/>
      <c r="N49" s="15"/>
      <c r="O49" s="15"/>
      <c r="P49" s="39"/>
      <c r="Q49" s="39"/>
      <c r="R49" s="15"/>
      <c r="S49" s="15"/>
      <c r="T49" s="15"/>
    </row>
    <row r="50">
      <c r="A50" s="15"/>
      <c r="B50" s="15"/>
      <c r="C50" s="15"/>
      <c r="D50" s="15"/>
      <c r="E50" s="15"/>
      <c r="F50" s="15"/>
      <c r="G50" s="15"/>
      <c r="H50" s="15"/>
      <c r="I50" s="15"/>
      <c r="J50" s="15"/>
      <c r="K50" s="15"/>
      <c r="L50" s="15"/>
      <c r="M50" s="15"/>
      <c r="N50" s="15"/>
      <c r="O50" s="15"/>
      <c r="P50" s="39"/>
      <c r="Q50" s="39"/>
      <c r="R50" s="15"/>
      <c r="S50" s="15"/>
      <c r="T50" s="15"/>
    </row>
    <row r="51">
      <c r="A51" s="15"/>
      <c r="B51" s="15"/>
      <c r="C51" s="15"/>
      <c r="D51" s="15"/>
      <c r="E51" s="15"/>
      <c r="F51" s="15"/>
      <c r="G51" s="15"/>
      <c r="H51" s="15"/>
      <c r="I51" s="15"/>
      <c r="J51" s="15"/>
      <c r="K51" s="15"/>
      <c r="L51" s="15"/>
      <c r="M51" s="15"/>
      <c r="N51" s="15"/>
      <c r="O51" s="15"/>
      <c r="P51" s="39"/>
      <c r="Q51" s="39"/>
      <c r="R51" s="15"/>
      <c r="S51" s="15"/>
      <c r="T51" s="15"/>
    </row>
    <row r="52">
      <c r="A52" s="15"/>
      <c r="B52" s="15"/>
      <c r="C52" s="15"/>
      <c r="D52" s="15"/>
      <c r="E52" s="15"/>
      <c r="F52" s="15"/>
      <c r="G52" s="15"/>
      <c r="H52" s="15"/>
      <c r="I52" s="15"/>
      <c r="J52" s="15"/>
      <c r="K52" s="15"/>
      <c r="L52" s="15"/>
      <c r="M52" s="15"/>
      <c r="N52" s="15"/>
      <c r="O52" s="15"/>
      <c r="P52" s="39"/>
      <c r="Q52" s="39"/>
      <c r="R52" s="15"/>
      <c r="S52" s="15"/>
      <c r="T52" s="15"/>
    </row>
    <row r="53">
      <c r="A53" s="15"/>
      <c r="B53" s="15"/>
      <c r="C53" s="15"/>
      <c r="D53" s="15"/>
      <c r="E53" s="15"/>
      <c r="F53" s="15"/>
      <c r="G53" s="15"/>
      <c r="H53" s="15"/>
      <c r="I53" s="15"/>
      <c r="J53" s="15"/>
      <c r="K53" s="15"/>
      <c r="L53" s="15"/>
      <c r="M53" s="15"/>
      <c r="N53" s="15"/>
      <c r="O53" s="15"/>
      <c r="P53" s="39"/>
      <c r="Q53" s="39"/>
      <c r="R53" s="15"/>
      <c r="S53" s="15"/>
      <c r="T53" s="15"/>
    </row>
    <row r="54">
      <c r="A54" s="15"/>
      <c r="B54" s="15"/>
      <c r="C54" s="15"/>
      <c r="D54" s="15"/>
      <c r="E54" s="15"/>
      <c r="F54" s="15"/>
      <c r="G54" s="15"/>
      <c r="H54" s="15"/>
      <c r="I54" s="15"/>
      <c r="J54" s="15"/>
      <c r="K54" s="15"/>
      <c r="L54" s="15"/>
      <c r="M54" s="15"/>
      <c r="N54" s="15"/>
      <c r="O54" s="15"/>
      <c r="P54" s="39"/>
      <c r="Q54" s="39"/>
      <c r="R54" s="15"/>
      <c r="S54" s="15"/>
      <c r="T54" s="15"/>
    </row>
    <row r="55">
      <c r="A55" s="15"/>
      <c r="B55" s="15"/>
      <c r="C55" s="15"/>
      <c r="D55" s="15"/>
      <c r="E55" s="15"/>
      <c r="F55" s="15"/>
      <c r="G55" s="15"/>
      <c r="H55" s="15"/>
      <c r="I55" s="15"/>
      <c r="J55" s="15"/>
      <c r="K55" s="15"/>
      <c r="L55" s="15"/>
      <c r="M55" s="15"/>
      <c r="N55" s="15"/>
      <c r="O55" s="15"/>
      <c r="P55" s="39"/>
      <c r="Q55" s="39"/>
      <c r="R55" s="15"/>
      <c r="S55" s="15"/>
      <c r="T55" s="15"/>
    </row>
    <row r="56">
      <c r="A56" s="15"/>
      <c r="B56" s="15"/>
      <c r="C56" s="15"/>
      <c r="D56" s="15"/>
      <c r="E56" s="15"/>
      <c r="F56" s="15"/>
      <c r="G56" s="15"/>
      <c r="H56" s="15"/>
      <c r="I56" s="15"/>
      <c r="J56" s="15"/>
      <c r="K56" s="15"/>
      <c r="L56" s="15"/>
      <c r="M56" s="15"/>
      <c r="N56" s="15"/>
      <c r="O56" s="15"/>
      <c r="P56" s="39"/>
      <c r="Q56" s="39"/>
      <c r="R56" s="15"/>
      <c r="S56" s="15"/>
      <c r="T56" s="15"/>
    </row>
    <row r="57">
      <c r="A57" s="15"/>
      <c r="B57" s="15"/>
      <c r="C57" s="15"/>
      <c r="D57" s="15"/>
      <c r="E57" s="15"/>
      <c r="F57" s="15"/>
      <c r="G57" s="15"/>
      <c r="H57" s="15"/>
      <c r="I57" s="15"/>
      <c r="J57" s="15"/>
      <c r="K57" s="15"/>
      <c r="L57" s="15"/>
      <c r="M57" s="15"/>
      <c r="N57" s="15"/>
      <c r="O57" s="15"/>
      <c r="P57" s="39"/>
      <c r="Q57" s="39"/>
      <c r="R57" s="15"/>
      <c r="S57" s="15"/>
      <c r="T57" s="15"/>
    </row>
    <row r="58">
      <c r="A58" s="15"/>
      <c r="B58" s="15"/>
      <c r="C58" s="15"/>
      <c r="D58" s="15"/>
      <c r="E58" s="15"/>
      <c r="F58" s="15"/>
      <c r="G58" s="15"/>
      <c r="H58" s="15"/>
      <c r="I58" s="15"/>
      <c r="J58" s="15"/>
      <c r="K58" s="15"/>
      <c r="L58" s="15"/>
      <c r="M58" s="15"/>
      <c r="N58" s="15"/>
      <c r="O58" s="15"/>
      <c r="P58" s="39"/>
      <c r="Q58" s="39"/>
      <c r="R58" s="15"/>
      <c r="S58" s="15"/>
      <c r="T58" s="15"/>
    </row>
    <row r="59">
      <c r="A59" s="15"/>
      <c r="B59" s="15"/>
      <c r="C59" s="15"/>
      <c r="D59" s="15"/>
      <c r="E59" s="15"/>
      <c r="F59" s="15"/>
      <c r="G59" s="15"/>
      <c r="H59" s="15"/>
      <c r="I59" s="15"/>
      <c r="J59" s="15"/>
      <c r="K59" s="15"/>
      <c r="L59" s="15"/>
      <c r="M59" s="15"/>
      <c r="N59" s="15"/>
      <c r="O59" s="15"/>
      <c r="P59" s="39"/>
      <c r="Q59" s="39"/>
      <c r="R59" s="15"/>
      <c r="S59" s="15"/>
      <c r="T59" s="15"/>
    </row>
    <row r="60">
      <c r="A60" s="15"/>
      <c r="B60" s="15"/>
      <c r="C60" s="15"/>
      <c r="D60" s="15"/>
      <c r="E60" s="15"/>
      <c r="F60" s="15"/>
      <c r="G60" s="15"/>
      <c r="H60" s="15"/>
      <c r="I60" s="15"/>
      <c r="J60" s="15"/>
      <c r="K60" s="15"/>
      <c r="L60" s="15"/>
      <c r="M60" s="15"/>
      <c r="N60" s="15"/>
      <c r="O60" s="15"/>
      <c r="P60" s="39"/>
      <c r="Q60" s="39"/>
      <c r="R60" s="15"/>
      <c r="S60" s="15"/>
      <c r="T60" s="15"/>
    </row>
    <row r="61">
      <c r="A61" s="15"/>
      <c r="B61" s="15"/>
      <c r="C61" s="15"/>
      <c r="D61" s="15"/>
      <c r="E61" s="15"/>
      <c r="F61" s="15"/>
      <c r="G61" s="15"/>
      <c r="H61" s="15"/>
      <c r="I61" s="15"/>
      <c r="J61" s="15"/>
      <c r="K61" s="15"/>
      <c r="L61" s="15"/>
      <c r="M61" s="15"/>
      <c r="N61" s="15"/>
      <c r="O61" s="15"/>
      <c r="P61" s="39"/>
      <c r="Q61" s="39"/>
      <c r="R61" s="15"/>
      <c r="S61" s="15"/>
      <c r="T61" s="15"/>
    </row>
    <row r="62">
      <c r="A62" s="15"/>
      <c r="B62" s="15"/>
      <c r="C62" s="15"/>
      <c r="D62" s="15"/>
      <c r="E62" s="15"/>
      <c r="F62" s="15"/>
      <c r="G62" s="15"/>
      <c r="H62" s="15"/>
      <c r="I62" s="15"/>
      <c r="J62" s="15"/>
      <c r="K62" s="15"/>
      <c r="L62" s="15"/>
      <c r="M62" s="15"/>
      <c r="N62" s="15"/>
      <c r="O62" s="15"/>
      <c r="P62" s="39"/>
      <c r="Q62" s="39"/>
      <c r="R62" s="15"/>
      <c r="S62" s="15"/>
      <c r="T62" s="15"/>
    </row>
    <row r="63">
      <c r="A63" s="15"/>
      <c r="B63" s="15"/>
      <c r="C63" s="15"/>
      <c r="D63" s="15"/>
      <c r="E63" s="15"/>
      <c r="F63" s="15"/>
      <c r="G63" s="15"/>
      <c r="H63" s="15"/>
      <c r="I63" s="15"/>
      <c r="J63" s="15"/>
      <c r="K63" s="15"/>
      <c r="L63" s="15"/>
      <c r="M63" s="15"/>
      <c r="N63" s="15"/>
      <c r="O63" s="15"/>
      <c r="P63" s="39"/>
      <c r="Q63" s="39"/>
      <c r="R63" s="15"/>
      <c r="S63" s="15"/>
      <c r="T63" s="15"/>
    </row>
    <row r="64">
      <c r="A64" s="15"/>
      <c r="B64" s="15"/>
      <c r="C64" s="15"/>
      <c r="D64" s="15"/>
      <c r="E64" s="15"/>
      <c r="F64" s="15"/>
      <c r="G64" s="15"/>
      <c r="H64" s="15"/>
      <c r="I64" s="15"/>
      <c r="J64" s="15"/>
      <c r="K64" s="15"/>
      <c r="L64" s="15"/>
      <c r="M64" s="15"/>
      <c r="N64" s="15"/>
      <c r="O64" s="15"/>
      <c r="P64" s="39"/>
      <c r="Q64" s="39"/>
      <c r="R64" s="15"/>
      <c r="S64" s="15"/>
      <c r="T64" s="15"/>
    </row>
    <row r="65">
      <c r="A65" s="15"/>
      <c r="B65" s="15"/>
      <c r="C65" s="15"/>
      <c r="D65" s="15"/>
      <c r="E65" s="15"/>
      <c r="F65" s="15"/>
      <c r="G65" s="15"/>
      <c r="H65" s="15"/>
      <c r="I65" s="15"/>
      <c r="J65" s="15"/>
      <c r="K65" s="15"/>
      <c r="L65" s="15"/>
      <c r="M65" s="15"/>
      <c r="N65" s="15"/>
      <c r="O65" s="15"/>
      <c r="P65" s="39"/>
      <c r="Q65" s="39"/>
      <c r="R65" s="15"/>
      <c r="S65" s="15"/>
      <c r="T65" s="15"/>
    </row>
    <row r="66">
      <c r="A66" s="15"/>
      <c r="B66" s="15"/>
      <c r="C66" s="15"/>
      <c r="D66" s="15"/>
      <c r="E66" s="15"/>
      <c r="F66" s="15"/>
      <c r="G66" s="15"/>
      <c r="H66" s="15"/>
      <c r="I66" s="15"/>
      <c r="J66" s="15"/>
      <c r="K66" s="15"/>
      <c r="L66" s="15"/>
      <c r="M66" s="15"/>
      <c r="N66" s="15"/>
      <c r="O66" s="15"/>
      <c r="P66" s="39"/>
      <c r="Q66" s="39"/>
      <c r="R66" s="15"/>
      <c r="S66" s="15"/>
      <c r="T66" s="15"/>
    </row>
    <row r="67">
      <c r="A67" s="15"/>
      <c r="B67" s="15"/>
      <c r="C67" s="15"/>
      <c r="D67" s="15"/>
      <c r="E67" s="15"/>
      <c r="F67" s="15"/>
      <c r="G67" s="15"/>
      <c r="H67" s="15"/>
      <c r="I67" s="15"/>
      <c r="J67" s="15"/>
      <c r="K67" s="15"/>
      <c r="L67" s="15"/>
      <c r="M67" s="15"/>
      <c r="N67" s="15"/>
      <c r="O67" s="15"/>
      <c r="P67" s="39"/>
      <c r="Q67" s="39"/>
      <c r="R67" s="15"/>
      <c r="S67" s="15"/>
      <c r="T67" s="15"/>
    </row>
    <row r="68">
      <c r="A68" s="15"/>
      <c r="B68" s="15"/>
      <c r="C68" s="15"/>
      <c r="D68" s="15"/>
      <c r="E68" s="15"/>
      <c r="F68" s="15"/>
      <c r="G68" s="15"/>
      <c r="H68" s="15"/>
      <c r="I68" s="15"/>
      <c r="J68" s="15"/>
      <c r="K68" s="15"/>
      <c r="L68" s="15"/>
      <c r="M68" s="15"/>
      <c r="N68" s="15"/>
      <c r="O68" s="15"/>
      <c r="P68" s="39"/>
      <c r="Q68" s="39"/>
      <c r="R68" s="15"/>
      <c r="S68" s="15"/>
      <c r="T68" s="15"/>
    </row>
    <row r="69">
      <c r="A69" s="15"/>
      <c r="B69" s="15"/>
      <c r="C69" s="15"/>
      <c r="D69" s="15"/>
      <c r="E69" s="15"/>
      <c r="F69" s="15"/>
      <c r="G69" s="15"/>
      <c r="H69" s="15"/>
      <c r="I69" s="15"/>
      <c r="J69" s="15"/>
      <c r="K69" s="15"/>
      <c r="L69" s="15"/>
      <c r="M69" s="15"/>
      <c r="N69" s="15"/>
      <c r="O69" s="15"/>
      <c r="P69" s="39"/>
      <c r="Q69" s="39"/>
      <c r="R69" s="15"/>
      <c r="S69" s="15"/>
      <c r="T69" s="15"/>
    </row>
    <row r="70">
      <c r="A70" s="15"/>
      <c r="B70" s="15"/>
      <c r="C70" s="15"/>
      <c r="D70" s="15"/>
      <c r="E70" s="15"/>
      <c r="F70" s="15"/>
      <c r="G70" s="15"/>
      <c r="H70" s="15"/>
      <c r="I70" s="15"/>
      <c r="J70" s="15"/>
      <c r="K70" s="15"/>
      <c r="L70" s="15"/>
      <c r="M70" s="15"/>
      <c r="N70" s="15"/>
      <c r="O70" s="15"/>
      <c r="P70" s="39"/>
      <c r="Q70" s="39"/>
      <c r="R70" s="15"/>
      <c r="S70" s="15"/>
      <c r="T70" s="15"/>
    </row>
    <row r="71">
      <c r="A71" s="15"/>
      <c r="B71" s="15"/>
      <c r="C71" s="15"/>
      <c r="D71" s="15"/>
      <c r="E71" s="15"/>
      <c r="F71" s="15"/>
      <c r="G71" s="15"/>
      <c r="H71" s="15"/>
      <c r="I71" s="15"/>
      <c r="J71" s="15"/>
      <c r="K71" s="15"/>
      <c r="L71" s="15"/>
      <c r="M71" s="15"/>
      <c r="N71" s="15"/>
      <c r="O71" s="15"/>
      <c r="P71" s="39"/>
      <c r="Q71" s="39"/>
      <c r="R71" s="15"/>
      <c r="S71" s="15"/>
      <c r="T71" s="15"/>
    </row>
    <row r="72">
      <c r="A72" s="15"/>
      <c r="B72" s="15"/>
      <c r="C72" s="15"/>
      <c r="D72" s="15"/>
      <c r="E72" s="15"/>
      <c r="F72" s="15"/>
      <c r="G72" s="15"/>
      <c r="H72" s="15"/>
      <c r="I72" s="15"/>
      <c r="J72" s="15"/>
      <c r="K72" s="15"/>
      <c r="L72" s="15"/>
      <c r="M72" s="15"/>
      <c r="N72" s="15"/>
      <c r="O72" s="15"/>
      <c r="P72" s="39"/>
      <c r="Q72" s="39"/>
      <c r="R72" s="15"/>
      <c r="S72" s="15"/>
      <c r="T72" s="15"/>
    </row>
    <row r="73">
      <c r="A73" s="15"/>
      <c r="B73" s="15"/>
      <c r="C73" s="15"/>
      <c r="D73" s="15"/>
      <c r="E73" s="15"/>
      <c r="F73" s="15"/>
      <c r="G73" s="15"/>
      <c r="H73" s="15"/>
      <c r="I73" s="15"/>
      <c r="J73" s="15"/>
      <c r="K73" s="15"/>
      <c r="L73" s="15"/>
      <c r="M73" s="15"/>
      <c r="N73" s="15"/>
      <c r="O73" s="15"/>
      <c r="P73" s="39"/>
      <c r="Q73" s="39"/>
      <c r="R73" s="15"/>
      <c r="S73" s="15"/>
      <c r="T73" s="15"/>
    </row>
    <row r="74">
      <c r="A74" s="15"/>
      <c r="B74" s="15"/>
      <c r="C74" s="15"/>
      <c r="D74" s="15"/>
      <c r="E74" s="15"/>
      <c r="F74" s="15"/>
      <c r="G74" s="15"/>
      <c r="H74" s="15"/>
      <c r="I74" s="15"/>
      <c r="J74" s="15"/>
      <c r="K74" s="15"/>
      <c r="L74" s="15"/>
      <c r="M74" s="15"/>
      <c r="N74" s="15"/>
      <c r="O74" s="15"/>
      <c r="P74" s="39"/>
      <c r="Q74" s="39"/>
      <c r="R74" s="15"/>
      <c r="S74" s="15"/>
      <c r="T74" s="15"/>
    </row>
    <row r="75">
      <c r="A75" s="15"/>
      <c r="B75" s="15"/>
      <c r="C75" s="15"/>
      <c r="D75" s="15"/>
      <c r="E75" s="15"/>
      <c r="F75" s="15"/>
      <c r="G75" s="15"/>
      <c r="H75" s="15"/>
      <c r="I75" s="15"/>
      <c r="J75" s="15"/>
      <c r="K75" s="15"/>
      <c r="L75" s="15"/>
      <c r="M75" s="15"/>
      <c r="N75" s="15"/>
      <c r="O75" s="15"/>
      <c r="P75" s="39"/>
      <c r="Q75" s="39"/>
      <c r="R75" s="15"/>
      <c r="S75" s="15"/>
      <c r="T75" s="15"/>
    </row>
    <row r="76">
      <c r="A76" s="15"/>
      <c r="B76" s="15"/>
      <c r="C76" s="15"/>
      <c r="D76" s="15"/>
      <c r="E76" s="15"/>
      <c r="F76" s="15"/>
      <c r="G76" s="15"/>
      <c r="H76" s="15"/>
      <c r="I76" s="15"/>
      <c r="J76" s="15"/>
      <c r="K76" s="15"/>
      <c r="L76" s="15"/>
      <c r="M76" s="15"/>
      <c r="N76" s="15"/>
      <c r="O76" s="15"/>
      <c r="P76" s="39"/>
      <c r="Q76" s="39"/>
      <c r="R76" s="15"/>
      <c r="S76" s="15"/>
      <c r="T76" s="15"/>
    </row>
    <row r="77">
      <c r="A77" s="15"/>
      <c r="B77" s="15"/>
      <c r="C77" s="15"/>
      <c r="D77" s="15"/>
      <c r="E77" s="15"/>
      <c r="F77" s="15"/>
      <c r="G77" s="15"/>
      <c r="H77" s="15"/>
      <c r="I77" s="15"/>
      <c r="J77" s="15"/>
      <c r="K77" s="15"/>
      <c r="L77" s="15"/>
      <c r="M77" s="15"/>
      <c r="N77" s="15"/>
      <c r="O77" s="15"/>
      <c r="P77" s="39"/>
      <c r="Q77" s="39"/>
      <c r="R77" s="15"/>
      <c r="S77" s="15"/>
      <c r="T77" s="15"/>
    </row>
    <row r="78">
      <c r="A78" s="15"/>
      <c r="B78" s="15"/>
      <c r="C78" s="15"/>
      <c r="D78" s="15"/>
      <c r="E78" s="15"/>
      <c r="F78" s="15"/>
      <c r="G78" s="15"/>
      <c r="H78" s="15"/>
      <c r="I78" s="15"/>
      <c r="J78" s="15"/>
      <c r="K78" s="15"/>
      <c r="L78" s="15"/>
      <c r="M78" s="15"/>
      <c r="N78" s="15"/>
      <c r="O78" s="15"/>
      <c r="P78" s="39"/>
      <c r="Q78" s="39"/>
      <c r="R78" s="15"/>
      <c r="S78" s="15"/>
      <c r="T78" s="15"/>
    </row>
    <row r="79">
      <c r="A79" s="15"/>
      <c r="B79" s="15"/>
      <c r="C79" s="15"/>
      <c r="D79" s="15"/>
      <c r="E79" s="15"/>
      <c r="F79" s="15"/>
      <c r="G79" s="15"/>
      <c r="H79" s="15"/>
      <c r="I79" s="15"/>
      <c r="J79" s="15"/>
      <c r="K79" s="15"/>
      <c r="L79" s="15"/>
      <c r="M79" s="15"/>
      <c r="N79" s="15"/>
      <c r="O79" s="15"/>
      <c r="P79" s="39"/>
      <c r="Q79" s="39"/>
      <c r="R79" s="15"/>
      <c r="S79" s="15"/>
      <c r="T79" s="15"/>
    </row>
    <row r="80">
      <c r="A80" s="15"/>
      <c r="B80" s="15"/>
      <c r="C80" s="15"/>
      <c r="D80" s="15"/>
      <c r="E80" s="15"/>
      <c r="F80" s="15"/>
      <c r="G80" s="15"/>
      <c r="H80" s="15"/>
      <c r="I80" s="15"/>
      <c r="J80" s="15"/>
      <c r="K80" s="15"/>
      <c r="L80" s="15"/>
      <c r="M80" s="15"/>
      <c r="N80" s="15"/>
      <c r="O80" s="15"/>
      <c r="P80" s="39"/>
      <c r="Q80" s="39"/>
      <c r="R80" s="15"/>
      <c r="S80" s="15"/>
      <c r="T80" s="15"/>
    </row>
    <row r="81">
      <c r="A81" s="15"/>
      <c r="B81" s="15"/>
      <c r="C81" s="15"/>
      <c r="D81" s="15"/>
      <c r="E81" s="15"/>
      <c r="F81" s="15"/>
      <c r="G81" s="15"/>
      <c r="H81" s="15"/>
      <c r="I81" s="15"/>
      <c r="J81" s="15"/>
      <c r="K81" s="15"/>
      <c r="L81" s="15"/>
      <c r="M81" s="15"/>
      <c r="N81" s="15"/>
      <c r="O81" s="15"/>
      <c r="P81" s="39"/>
      <c r="Q81" s="39"/>
      <c r="R81" s="15"/>
      <c r="S81" s="15"/>
      <c r="T81" s="15"/>
    </row>
    <row r="82">
      <c r="A82" s="15"/>
      <c r="B82" s="15"/>
      <c r="C82" s="15"/>
      <c r="D82" s="15"/>
      <c r="E82" s="15"/>
      <c r="F82" s="15"/>
      <c r="G82" s="15"/>
      <c r="H82" s="15"/>
      <c r="I82" s="15"/>
      <c r="J82" s="15"/>
      <c r="K82" s="15"/>
      <c r="L82" s="15"/>
      <c r="M82" s="15"/>
      <c r="N82" s="15"/>
      <c r="O82" s="15"/>
      <c r="P82" s="39"/>
      <c r="Q82" s="39"/>
      <c r="R82" s="15"/>
      <c r="S82" s="15"/>
      <c r="T82" s="15"/>
    </row>
    <row r="83">
      <c r="A83" s="15"/>
      <c r="B83" s="15"/>
      <c r="C83" s="15"/>
      <c r="D83" s="15"/>
      <c r="E83" s="15"/>
      <c r="F83" s="15"/>
      <c r="G83" s="15"/>
      <c r="H83" s="15"/>
      <c r="I83" s="15"/>
      <c r="J83" s="15"/>
      <c r="K83" s="15"/>
      <c r="L83" s="15"/>
      <c r="M83" s="15"/>
      <c r="N83" s="15"/>
      <c r="O83" s="15"/>
      <c r="P83" s="39"/>
      <c r="Q83" s="39"/>
      <c r="R83" s="15"/>
      <c r="S83" s="15"/>
      <c r="T83" s="15"/>
    </row>
    <row r="84">
      <c r="A84" s="15"/>
      <c r="B84" s="15"/>
      <c r="C84" s="15"/>
      <c r="D84" s="15"/>
      <c r="E84" s="15"/>
      <c r="F84" s="15"/>
      <c r="G84" s="15"/>
      <c r="H84" s="15"/>
      <c r="I84" s="15"/>
      <c r="J84" s="15"/>
      <c r="K84" s="15"/>
      <c r="L84" s="15"/>
      <c r="M84" s="15"/>
      <c r="N84" s="15"/>
      <c r="O84" s="15"/>
      <c r="P84" s="39"/>
      <c r="Q84" s="39"/>
      <c r="R84" s="15"/>
      <c r="S84" s="15"/>
      <c r="T84" s="15"/>
    </row>
    <row r="85">
      <c r="A85" s="15"/>
      <c r="B85" s="15"/>
      <c r="C85" s="15"/>
      <c r="D85" s="15"/>
      <c r="E85" s="15"/>
      <c r="F85" s="15"/>
      <c r="G85" s="15"/>
      <c r="H85" s="15"/>
      <c r="I85" s="15"/>
      <c r="J85" s="15"/>
      <c r="K85" s="15"/>
      <c r="L85" s="15"/>
      <c r="M85" s="15"/>
      <c r="N85" s="15"/>
      <c r="O85" s="15"/>
      <c r="P85" s="39"/>
      <c r="Q85" s="39"/>
      <c r="R85" s="15"/>
      <c r="S85" s="15"/>
      <c r="T85" s="15"/>
    </row>
    <row r="86">
      <c r="A86" s="15"/>
      <c r="B86" s="15"/>
      <c r="C86" s="15"/>
      <c r="D86" s="15"/>
      <c r="E86" s="15"/>
      <c r="F86" s="15"/>
      <c r="G86" s="15"/>
      <c r="H86" s="15"/>
      <c r="I86" s="15"/>
      <c r="J86" s="15"/>
      <c r="K86" s="15"/>
      <c r="L86" s="15"/>
      <c r="M86" s="15"/>
      <c r="N86" s="15"/>
      <c r="O86" s="15"/>
      <c r="P86" s="39"/>
      <c r="Q86" s="39"/>
      <c r="R86" s="15"/>
      <c r="S86" s="15"/>
      <c r="T86" s="15"/>
    </row>
    <row r="87">
      <c r="A87" s="15"/>
      <c r="B87" s="15"/>
      <c r="C87" s="15"/>
      <c r="D87" s="15"/>
      <c r="E87" s="15"/>
      <c r="F87" s="15"/>
      <c r="G87" s="15"/>
      <c r="H87" s="15"/>
      <c r="I87" s="15"/>
      <c r="J87" s="15"/>
      <c r="K87" s="15"/>
      <c r="L87" s="15"/>
      <c r="M87" s="15"/>
      <c r="N87" s="15"/>
      <c r="O87" s="15"/>
      <c r="P87" s="39"/>
      <c r="Q87" s="39"/>
      <c r="R87" s="15"/>
      <c r="S87" s="15"/>
      <c r="T87" s="15"/>
    </row>
    <row r="88">
      <c r="A88" s="15"/>
      <c r="B88" s="15"/>
      <c r="C88" s="15"/>
      <c r="D88" s="15"/>
      <c r="E88" s="15"/>
      <c r="F88" s="15"/>
      <c r="G88" s="15"/>
      <c r="H88" s="15"/>
      <c r="I88" s="15"/>
      <c r="J88" s="15"/>
      <c r="K88" s="15"/>
      <c r="L88" s="15"/>
      <c r="M88" s="15"/>
      <c r="N88" s="15"/>
      <c r="O88" s="15"/>
      <c r="P88" s="39"/>
      <c r="Q88" s="39"/>
      <c r="R88" s="15"/>
      <c r="S88" s="15"/>
      <c r="T88" s="15"/>
    </row>
    <row r="89">
      <c r="A89" s="15"/>
      <c r="B89" s="15"/>
      <c r="C89" s="15"/>
      <c r="D89" s="15"/>
      <c r="E89" s="15"/>
      <c r="F89" s="15"/>
      <c r="G89" s="15"/>
      <c r="H89" s="15"/>
      <c r="I89" s="15"/>
      <c r="J89" s="15"/>
      <c r="K89" s="15"/>
      <c r="L89" s="15"/>
      <c r="M89" s="15"/>
      <c r="N89" s="15"/>
      <c r="O89" s="15"/>
      <c r="P89" s="39"/>
      <c r="Q89" s="39"/>
      <c r="R89" s="15"/>
      <c r="S89" s="15"/>
      <c r="T89" s="15"/>
    </row>
    <row r="90">
      <c r="A90" s="15"/>
      <c r="B90" s="15"/>
      <c r="C90" s="15"/>
      <c r="D90" s="15"/>
      <c r="E90" s="15"/>
      <c r="F90" s="15"/>
      <c r="G90" s="15"/>
      <c r="H90" s="15"/>
      <c r="I90" s="15"/>
      <c r="J90" s="15"/>
      <c r="K90" s="15"/>
      <c r="L90" s="15"/>
      <c r="M90" s="15"/>
      <c r="N90" s="15"/>
      <c r="O90" s="15"/>
      <c r="P90" s="39"/>
      <c r="Q90" s="39"/>
      <c r="R90" s="15"/>
      <c r="S90" s="15"/>
      <c r="T90" s="15"/>
    </row>
    <row r="91">
      <c r="A91" s="15"/>
      <c r="B91" s="15"/>
      <c r="C91" s="15"/>
      <c r="D91" s="15"/>
      <c r="E91" s="15"/>
      <c r="F91" s="15"/>
      <c r="G91" s="15"/>
      <c r="H91" s="15"/>
      <c r="I91" s="15"/>
      <c r="J91" s="15"/>
      <c r="K91" s="15"/>
      <c r="L91" s="15"/>
      <c r="M91" s="15"/>
      <c r="N91" s="15"/>
      <c r="O91" s="15"/>
      <c r="P91" s="39"/>
      <c r="Q91" s="39"/>
      <c r="R91" s="15"/>
      <c r="S91" s="15"/>
      <c r="T91" s="15"/>
    </row>
    <row r="92">
      <c r="A92" s="15"/>
      <c r="B92" s="15"/>
      <c r="C92" s="15"/>
      <c r="D92" s="15"/>
      <c r="E92" s="15"/>
      <c r="F92" s="15"/>
      <c r="G92" s="15"/>
      <c r="H92" s="15"/>
      <c r="I92" s="15"/>
      <c r="J92" s="15"/>
      <c r="K92" s="15"/>
      <c r="L92" s="15"/>
      <c r="M92" s="15"/>
      <c r="N92" s="15"/>
      <c r="O92" s="15"/>
      <c r="P92" s="39"/>
      <c r="Q92" s="39"/>
      <c r="R92" s="15"/>
      <c r="S92" s="15"/>
      <c r="T92" s="15"/>
    </row>
    <row r="93">
      <c r="A93" s="15"/>
      <c r="B93" s="15"/>
      <c r="C93" s="15"/>
      <c r="D93" s="15"/>
      <c r="E93" s="15"/>
      <c r="F93" s="15"/>
      <c r="G93" s="15"/>
      <c r="H93" s="15"/>
      <c r="I93" s="15"/>
      <c r="J93" s="15"/>
      <c r="K93" s="15"/>
      <c r="L93" s="15"/>
      <c r="M93" s="15"/>
      <c r="N93" s="15"/>
      <c r="O93" s="15"/>
      <c r="P93" s="39"/>
      <c r="Q93" s="39"/>
      <c r="R93" s="15"/>
      <c r="S93" s="15"/>
      <c r="T93" s="15"/>
    </row>
    <row r="94">
      <c r="A94" s="15"/>
      <c r="B94" s="15"/>
      <c r="C94" s="15"/>
      <c r="D94" s="15"/>
      <c r="E94" s="15"/>
      <c r="F94" s="15"/>
      <c r="G94" s="15"/>
      <c r="H94" s="15"/>
      <c r="I94" s="15"/>
      <c r="J94" s="15"/>
      <c r="K94" s="15"/>
      <c r="L94" s="15"/>
      <c r="M94" s="15"/>
      <c r="N94" s="15"/>
      <c r="O94" s="15"/>
      <c r="P94" s="39"/>
      <c r="Q94" s="39"/>
      <c r="R94" s="15"/>
      <c r="S94" s="15"/>
      <c r="T94" s="15"/>
    </row>
    <row r="95">
      <c r="A95" s="15"/>
      <c r="B95" s="15"/>
      <c r="C95" s="15"/>
      <c r="D95" s="15"/>
      <c r="E95" s="15"/>
      <c r="F95" s="15"/>
      <c r="G95" s="15"/>
      <c r="H95" s="15"/>
      <c r="I95" s="15"/>
      <c r="J95" s="15"/>
      <c r="K95" s="15"/>
      <c r="L95" s="15"/>
      <c r="M95" s="15"/>
      <c r="N95" s="15"/>
      <c r="O95" s="15"/>
      <c r="P95" s="39"/>
      <c r="Q95" s="39"/>
      <c r="R95" s="15"/>
      <c r="S95" s="15"/>
      <c r="T95" s="15"/>
    </row>
    <row r="96">
      <c r="A96" s="15"/>
      <c r="B96" s="15"/>
      <c r="C96" s="15"/>
      <c r="D96" s="15"/>
      <c r="E96" s="15"/>
      <c r="F96" s="15"/>
      <c r="G96" s="15"/>
      <c r="H96" s="15"/>
      <c r="I96" s="15"/>
      <c r="J96" s="15"/>
      <c r="K96" s="15"/>
      <c r="L96" s="15"/>
      <c r="M96" s="15"/>
      <c r="N96" s="15"/>
      <c r="O96" s="15"/>
      <c r="P96" s="39"/>
      <c r="Q96" s="39"/>
      <c r="R96" s="15"/>
      <c r="S96" s="15"/>
      <c r="T96" s="15"/>
    </row>
    <row r="97">
      <c r="A97" s="15"/>
      <c r="B97" s="15"/>
      <c r="C97" s="15"/>
      <c r="D97" s="15"/>
      <c r="E97" s="15"/>
      <c r="F97" s="15"/>
      <c r="G97" s="15"/>
      <c r="H97" s="15"/>
      <c r="I97" s="15"/>
      <c r="J97" s="15"/>
      <c r="K97" s="15"/>
      <c r="L97" s="15"/>
      <c r="M97" s="15"/>
      <c r="N97" s="15"/>
      <c r="O97" s="15"/>
      <c r="P97" s="39"/>
      <c r="Q97" s="39"/>
      <c r="R97" s="15"/>
      <c r="S97" s="15"/>
      <c r="T97" s="15"/>
    </row>
    <row r="98">
      <c r="A98" s="15"/>
      <c r="B98" s="15"/>
      <c r="C98" s="15"/>
      <c r="D98" s="15"/>
      <c r="E98" s="15"/>
      <c r="F98" s="15"/>
      <c r="G98" s="15"/>
      <c r="H98" s="15"/>
      <c r="I98" s="15"/>
      <c r="J98" s="15"/>
      <c r="K98" s="15"/>
      <c r="L98" s="15"/>
      <c r="M98" s="15"/>
      <c r="N98" s="15"/>
      <c r="O98" s="15"/>
      <c r="P98" s="39"/>
      <c r="Q98" s="39"/>
      <c r="R98" s="15"/>
      <c r="S98" s="15"/>
      <c r="T98" s="15"/>
    </row>
    <row r="99">
      <c r="A99" s="15"/>
      <c r="B99" s="15"/>
      <c r="C99" s="15"/>
      <c r="D99" s="15"/>
      <c r="E99" s="15"/>
      <c r="F99" s="15"/>
      <c r="G99" s="15"/>
      <c r="H99" s="15"/>
      <c r="I99" s="15"/>
      <c r="J99" s="15"/>
      <c r="K99" s="15"/>
      <c r="L99" s="15"/>
      <c r="M99" s="15"/>
      <c r="N99" s="15"/>
      <c r="O99" s="15"/>
      <c r="P99" s="39"/>
      <c r="Q99" s="39"/>
      <c r="R99" s="15"/>
      <c r="S99" s="15"/>
      <c r="T99" s="15"/>
    </row>
    <row r="100">
      <c r="A100" s="15"/>
      <c r="B100" s="15"/>
      <c r="C100" s="15"/>
      <c r="D100" s="15"/>
      <c r="E100" s="15"/>
      <c r="F100" s="15"/>
      <c r="G100" s="15"/>
      <c r="H100" s="15"/>
      <c r="I100" s="15"/>
      <c r="J100" s="15"/>
      <c r="K100" s="15"/>
      <c r="L100" s="15"/>
      <c r="M100" s="15"/>
      <c r="N100" s="15"/>
      <c r="O100" s="15"/>
      <c r="P100" s="39"/>
      <c r="Q100" s="39"/>
      <c r="R100" s="15"/>
      <c r="S100" s="15"/>
      <c r="T1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2.75"/>
  <cols>
    <col customWidth="1" min="1" max="1" width="3.14"/>
    <col customWidth="1" min="2" max="2" width="18.0"/>
    <col customWidth="1" min="3" max="3" width="3.14"/>
    <col customWidth="1" min="4" max="4" width="7.86"/>
    <col customWidth="1" min="5" max="5" width="3.43"/>
    <col customWidth="1" min="6" max="6" width="10.29"/>
    <col customWidth="1" min="7" max="7" width="3.43"/>
    <col customWidth="1" min="8" max="8" width="4.14"/>
    <col customWidth="1" min="9" max="9" width="3.86"/>
    <col customWidth="1" min="10" max="10" width="3.43"/>
    <col customWidth="1" min="11" max="11" width="4.0"/>
    <col customWidth="1" min="12" max="12" width="9.86"/>
    <col customWidth="1" min="13" max="13" width="12.29"/>
    <col customWidth="1" min="14" max="14" width="9.14"/>
    <col customWidth="1" min="15" max="15" width="8.0"/>
    <col customWidth="1" min="16" max="16" width="7.71"/>
    <col customWidth="1" min="17" max="19" width="8.14"/>
    <col customWidth="1" min="20" max="20" width="7.86"/>
    <col customWidth="1" min="21" max="21" width="8.14"/>
    <col customWidth="1" min="22" max="22" width="7.71"/>
    <col customWidth="1" min="23" max="23" width="5.14"/>
    <col customWidth="1" min="24" max="24" width="7.43"/>
  </cols>
  <sheetData>
    <row r="1">
      <c r="B1" s="7" t="s">
        <v>57</v>
      </c>
      <c r="C1" s="7" t="s">
        <v>58</v>
      </c>
      <c r="D1" s="7" t="s">
        <v>220</v>
      </c>
      <c r="E1" s="7" t="s">
        <v>59</v>
      </c>
      <c r="F1" s="7" t="s">
        <v>221</v>
      </c>
      <c r="G1" s="7" t="s">
        <v>61</v>
      </c>
      <c r="H1" s="7" t="s">
        <v>222</v>
      </c>
      <c r="I1" s="7" t="s">
        <v>63</v>
      </c>
      <c r="J1" s="7" t="s">
        <v>64</v>
      </c>
      <c r="K1" s="7" t="s">
        <v>65</v>
      </c>
      <c r="L1" s="7" t="s">
        <v>66</v>
      </c>
      <c r="M1" s="7" t="s">
        <v>223</v>
      </c>
      <c r="N1" s="14"/>
      <c r="O1" s="14"/>
      <c r="P1" s="14"/>
      <c r="Q1" s="14"/>
      <c r="R1" s="14"/>
      <c r="S1" s="14"/>
      <c r="T1" s="14"/>
      <c r="U1" s="14"/>
      <c r="V1" s="14"/>
      <c r="W1" s="14"/>
      <c r="X1" s="14"/>
    </row>
    <row r="2">
      <c r="B2" s="9" t="s">
        <v>224</v>
      </c>
      <c r="C2" s="9" t="s">
        <v>132</v>
      </c>
      <c r="E2" s="9" t="s">
        <v>132</v>
      </c>
      <c r="F2" s="9" t="s">
        <v>132</v>
      </c>
      <c r="G2" s="9">
        <v>2.0</v>
      </c>
      <c r="I2" s="9">
        <v>0.0</v>
      </c>
      <c r="J2" s="9">
        <v>10.0</v>
      </c>
      <c r="K2" s="9">
        <v>0.0</v>
      </c>
      <c r="M2" s="9" t="s">
        <v>76</v>
      </c>
    </row>
    <row r="3" ht="7.5" customHeight="1"/>
    <row r="4">
      <c r="B4" s="9" t="s">
        <v>73</v>
      </c>
      <c r="C4" s="9">
        <v>3.0</v>
      </c>
      <c r="D4" s="57" t="s">
        <v>74</v>
      </c>
      <c r="E4" s="9">
        <v>1.0</v>
      </c>
      <c r="F4" s="9">
        <v>2.0</v>
      </c>
      <c r="G4" s="9">
        <v>1.0</v>
      </c>
      <c r="H4" s="9">
        <v>1.0</v>
      </c>
      <c r="I4" s="9">
        <v>0.0</v>
      </c>
      <c r="J4" s="9">
        <v>4.0</v>
      </c>
      <c r="K4" s="9">
        <v>0.0</v>
      </c>
      <c r="L4" s="9" t="s">
        <v>132</v>
      </c>
    </row>
    <row r="5">
      <c r="B5" s="9" t="s">
        <v>225</v>
      </c>
      <c r="C5" s="9">
        <v>3.0</v>
      </c>
      <c r="D5" s="57" t="s">
        <v>74</v>
      </c>
      <c r="E5" s="9">
        <v>1.0</v>
      </c>
      <c r="F5" s="9">
        <v>1.0</v>
      </c>
      <c r="G5" s="9">
        <v>2.0</v>
      </c>
      <c r="H5" s="9">
        <v>0.0</v>
      </c>
      <c r="I5" s="9">
        <v>0.0</v>
      </c>
      <c r="J5" s="9">
        <v>4.0</v>
      </c>
      <c r="K5" s="9">
        <v>0.0</v>
      </c>
    </row>
    <row r="6">
      <c r="B6" s="9" t="s">
        <v>82</v>
      </c>
      <c r="C6" s="9">
        <v>3.0</v>
      </c>
      <c r="D6" s="57" t="s">
        <v>83</v>
      </c>
      <c r="E6" s="9">
        <v>1.0</v>
      </c>
      <c r="F6" s="9">
        <v>1.0</v>
      </c>
      <c r="G6" s="9">
        <v>1.0</v>
      </c>
      <c r="H6" s="9">
        <v>0.0</v>
      </c>
      <c r="I6" s="9">
        <v>1.0</v>
      </c>
      <c r="J6" s="9">
        <v>2.0</v>
      </c>
      <c r="K6" s="9">
        <v>1.0</v>
      </c>
      <c r="L6" s="9" t="s">
        <v>132</v>
      </c>
      <c r="M6" s="9" t="s">
        <v>226</v>
      </c>
    </row>
    <row r="7">
      <c r="B7" s="9" t="s">
        <v>88</v>
      </c>
      <c r="C7" s="9">
        <v>3.0</v>
      </c>
      <c r="D7" s="57" t="s">
        <v>83</v>
      </c>
      <c r="E7" s="9">
        <v>1.0</v>
      </c>
      <c r="F7" s="9">
        <v>2.0</v>
      </c>
      <c r="G7" s="9">
        <v>1.0</v>
      </c>
      <c r="H7" s="9">
        <v>1.0</v>
      </c>
      <c r="I7" s="9">
        <v>0.0</v>
      </c>
      <c r="J7" s="9">
        <v>2.0</v>
      </c>
      <c r="K7" s="9">
        <v>1.0</v>
      </c>
      <c r="L7" s="9" t="s">
        <v>132</v>
      </c>
      <c r="M7" s="9" t="s">
        <v>227</v>
      </c>
    </row>
    <row r="8">
      <c r="B8" s="9" t="s">
        <v>13</v>
      </c>
      <c r="C8" s="9">
        <v>4.0</v>
      </c>
      <c r="D8" s="57" t="s">
        <v>92</v>
      </c>
      <c r="E8" s="9">
        <v>2.0</v>
      </c>
      <c r="F8" s="9">
        <v>3.0</v>
      </c>
      <c r="G8" s="9">
        <v>3.0</v>
      </c>
      <c r="H8" s="9">
        <v>0.0</v>
      </c>
      <c r="I8" s="9">
        <v>1.0</v>
      </c>
      <c r="J8" s="9">
        <v>6.0</v>
      </c>
      <c r="K8" s="9">
        <v>0.0</v>
      </c>
    </row>
    <row r="9">
      <c r="B9" s="9" t="s">
        <v>14</v>
      </c>
      <c r="C9" s="9">
        <v>4.0</v>
      </c>
      <c r="D9" s="57" t="s">
        <v>92</v>
      </c>
      <c r="E9" s="9">
        <v>2.0</v>
      </c>
      <c r="F9" s="9">
        <v>4.0</v>
      </c>
      <c r="G9" s="9">
        <v>2.0</v>
      </c>
      <c r="H9" s="9">
        <v>1.0</v>
      </c>
      <c r="I9" s="9">
        <v>1.0</v>
      </c>
      <c r="J9" s="9">
        <v>8.0</v>
      </c>
      <c r="K9" s="9">
        <v>0.0</v>
      </c>
      <c r="L9" s="9" t="s">
        <v>132</v>
      </c>
      <c r="M9" s="9" t="s">
        <v>227</v>
      </c>
    </row>
    <row r="10">
      <c r="B10" s="9" t="s">
        <v>99</v>
      </c>
      <c r="C10" s="9">
        <v>2.0</v>
      </c>
      <c r="D10" s="57" t="s">
        <v>100</v>
      </c>
      <c r="E10" s="9">
        <v>3.0</v>
      </c>
      <c r="F10" s="9">
        <v>8.0</v>
      </c>
      <c r="G10" s="9">
        <v>4.0</v>
      </c>
      <c r="H10" s="9">
        <v>0.0</v>
      </c>
      <c r="I10" s="9">
        <v>2.0</v>
      </c>
      <c r="J10" s="9">
        <v>8.0</v>
      </c>
      <c r="K10" s="10">
        <f>1</f>
        <v>1</v>
      </c>
      <c r="M10" s="9" t="s">
        <v>226</v>
      </c>
    </row>
    <row r="11">
      <c r="B11" s="9" t="s">
        <v>16</v>
      </c>
      <c r="C11" s="9">
        <v>2.0</v>
      </c>
      <c r="D11" s="57" t="s">
        <v>100</v>
      </c>
      <c r="E11" s="9">
        <v>3.0</v>
      </c>
      <c r="F11" s="9">
        <v>7.0</v>
      </c>
      <c r="G11" s="9">
        <v>4.0</v>
      </c>
      <c r="H11" s="9">
        <v>0.0</v>
      </c>
      <c r="I11" s="9">
        <v>2.0</v>
      </c>
      <c r="J11" s="9">
        <v>10.0</v>
      </c>
      <c r="K11" s="9">
        <v>0.0</v>
      </c>
    </row>
    <row r="12">
      <c r="B12" s="9" t="s">
        <v>20</v>
      </c>
      <c r="C12" s="9">
        <v>2.0</v>
      </c>
      <c r="D12" s="57" t="s">
        <v>107</v>
      </c>
      <c r="E12" s="9">
        <v>4.0</v>
      </c>
      <c r="F12" s="9">
        <v>17.0</v>
      </c>
      <c r="G12" s="9">
        <v>2.0</v>
      </c>
      <c r="H12" s="9">
        <v>0.0</v>
      </c>
      <c r="I12" s="9">
        <v>0.0</v>
      </c>
      <c r="J12" s="9">
        <v>6.0</v>
      </c>
      <c r="K12" s="9">
        <v>0.0</v>
      </c>
      <c r="M12" s="9" t="s">
        <v>229</v>
      </c>
    </row>
    <row r="13">
      <c r="B13" s="9" t="s">
        <v>19</v>
      </c>
      <c r="C13" s="9">
        <v>2.0</v>
      </c>
      <c r="D13" s="57" t="s">
        <v>107</v>
      </c>
      <c r="E13" s="9">
        <v>4.0</v>
      </c>
      <c r="F13" s="9">
        <v>14.0</v>
      </c>
      <c r="G13" s="9">
        <v>0.0</v>
      </c>
      <c r="H13" s="9">
        <v>2.0</v>
      </c>
      <c r="I13" s="9">
        <v>0.0</v>
      </c>
      <c r="J13" s="9">
        <v>5.0</v>
      </c>
      <c r="K13" s="9">
        <v>0.0</v>
      </c>
      <c r="L13" s="9" t="s">
        <v>132</v>
      </c>
      <c r="M13" s="9" t="s">
        <v>230</v>
      </c>
    </row>
    <row r="14">
      <c r="B14" s="9" t="s">
        <v>24</v>
      </c>
      <c r="C14" s="9">
        <v>2.0</v>
      </c>
      <c r="D14" s="9">
        <v>6.0</v>
      </c>
      <c r="E14" s="9">
        <v>6.0</v>
      </c>
      <c r="F14" s="9">
        <v>20.0</v>
      </c>
      <c r="G14" s="9">
        <v>5.0</v>
      </c>
      <c r="H14" s="9">
        <v>0.0</v>
      </c>
      <c r="I14" s="9">
        <v>2.0</v>
      </c>
      <c r="J14" s="9">
        <v>8.0</v>
      </c>
      <c r="K14" s="9">
        <v>0.0</v>
      </c>
    </row>
    <row r="15">
      <c r="B15" s="9" t="s">
        <v>25</v>
      </c>
      <c r="C15" s="9">
        <v>2.0</v>
      </c>
      <c r="D15" s="9">
        <v>6.0</v>
      </c>
      <c r="E15" s="9">
        <v>6.0</v>
      </c>
      <c r="F15" s="59" t="s">
        <v>231</v>
      </c>
      <c r="G15" s="9">
        <v>5.0</v>
      </c>
      <c r="H15" s="9">
        <v>0.0</v>
      </c>
      <c r="I15" s="9">
        <v>3.0</v>
      </c>
      <c r="J15" s="9">
        <v>12.0</v>
      </c>
      <c r="K15" s="9">
        <v>2.0</v>
      </c>
    </row>
    <row r="16">
      <c r="B16" s="9" t="s">
        <v>123</v>
      </c>
      <c r="C16" s="9">
        <v>2.0</v>
      </c>
      <c r="D16" s="9">
        <v>6.0</v>
      </c>
      <c r="E16" s="9">
        <v>6.0</v>
      </c>
      <c r="F16" s="9">
        <v>39.0</v>
      </c>
      <c r="G16" s="9">
        <v>4.0</v>
      </c>
      <c r="H16" s="9">
        <v>1.0</v>
      </c>
      <c r="I16" s="9">
        <v>1.0</v>
      </c>
      <c r="J16" s="9">
        <v>10.0</v>
      </c>
      <c r="K16" s="9">
        <v>0.0</v>
      </c>
      <c r="M16" s="9" t="s">
        <v>232</v>
      </c>
    </row>
    <row r="17">
      <c r="B17" s="9" t="s">
        <v>127</v>
      </c>
      <c r="C17" s="9">
        <v>2.0</v>
      </c>
      <c r="D17" s="9">
        <v>6.0</v>
      </c>
      <c r="E17" s="9">
        <v>6.0</v>
      </c>
      <c r="F17" s="9">
        <v>29.0</v>
      </c>
      <c r="G17" s="9">
        <v>4.0</v>
      </c>
      <c r="H17" s="9">
        <v>2.0</v>
      </c>
      <c r="I17" s="9">
        <v>2.0</v>
      </c>
      <c r="J17" s="9">
        <v>8.0</v>
      </c>
      <c r="K17" s="9">
        <v>1.0</v>
      </c>
      <c r="M17" s="9" t="s">
        <v>233</v>
      </c>
    </row>
    <row r="19">
      <c r="C19" s="10">
        <f>SUM(C4:C17)</f>
        <v>36</v>
      </c>
    </row>
    <row r="22">
      <c r="L22" s="9" t="s">
        <v>50</v>
      </c>
      <c r="N22" s="9">
        <v>1.0</v>
      </c>
      <c r="O22" s="9">
        <v>0.0</v>
      </c>
      <c r="P22" s="9">
        <v>2.0</v>
      </c>
      <c r="Q22" s="9">
        <v>2.0</v>
      </c>
      <c r="R22" s="9">
        <v>0.0</v>
      </c>
      <c r="S22" s="9">
        <v>1.0</v>
      </c>
      <c r="T22" s="9">
        <v>2.0</v>
      </c>
      <c r="U22" s="9">
        <v>3.0</v>
      </c>
    </row>
    <row r="23">
      <c r="L23" s="9" t="s">
        <v>51</v>
      </c>
      <c r="N23" s="9">
        <v>0.0</v>
      </c>
      <c r="O23" s="9">
        <v>1.0</v>
      </c>
      <c r="P23" s="9">
        <v>0.0</v>
      </c>
      <c r="Q23" s="9">
        <v>1.0</v>
      </c>
      <c r="R23" s="9">
        <v>2.0</v>
      </c>
      <c r="S23" s="9">
        <v>2.0</v>
      </c>
      <c r="T23" s="9">
        <v>2.0</v>
      </c>
      <c r="U23" s="9">
        <v>3.0</v>
      </c>
    </row>
    <row r="24">
      <c r="L24" s="9" t="s">
        <v>52</v>
      </c>
      <c r="N24" s="9">
        <v>1.0</v>
      </c>
      <c r="O24" s="10">
        <f>N24</f>
        <v>1</v>
      </c>
      <c r="P24" s="9">
        <v>2.0</v>
      </c>
      <c r="Q24" s="10">
        <f t="shared" ref="Q24:S24" si="1">P24</f>
        <v>2</v>
      </c>
      <c r="R24" s="10">
        <f t="shared" si="1"/>
        <v>2</v>
      </c>
      <c r="S24" s="10">
        <f t="shared" si="1"/>
        <v>2</v>
      </c>
      <c r="T24" s="9">
        <v>3.0</v>
      </c>
      <c r="U24" s="9">
        <v>4.0</v>
      </c>
    </row>
    <row r="25">
      <c r="B25" s="10" t="str">
        <f>$B$2</f>
        <v>*Aventurier*</v>
      </c>
      <c r="L25" s="10" t="str">
        <f>$G$1</f>
        <v>att</v>
      </c>
      <c r="M25" s="10">
        <f>$G$2</f>
        <v>2</v>
      </c>
      <c r="N25" s="10">
        <f t="shared" ref="N25:U25" si="2">$M25+N$22</f>
        <v>3</v>
      </c>
      <c r="O25" s="10">
        <f t="shared" si="2"/>
        <v>2</v>
      </c>
      <c r="P25" s="10">
        <f t="shared" si="2"/>
        <v>4</v>
      </c>
      <c r="Q25" s="10">
        <f t="shared" si="2"/>
        <v>4</v>
      </c>
      <c r="R25" s="10">
        <f t="shared" si="2"/>
        <v>2</v>
      </c>
      <c r="S25" s="10">
        <f t="shared" si="2"/>
        <v>3</v>
      </c>
      <c r="T25" s="10">
        <f t="shared" si="2"/>
        <v>4</v>
      </c>
      <c r="U25" s="10">
        <f t="shared" si="2"/>
        <v>5</v>
      </c>
    </row>
    <row r="26">
      <c r="L26" s="10" t="str">
        <f>$I$1</f>
        <v>def</v>
      </c>
      <c r="M26" s="10">
        <f>I$2</f>
        <v>0</v>
      </c>
      <c r="N26" s="10">
        <f t="shared" ref="N26:U26" si="3">$M26+N$23</f>
        <v>0</v>
      </c>
      <c r="O26" s="10">
        <f t="shared" si="3"/>
        <v>1</v>
      </c>
      <c r="P26" s="10">
        <f t="shared" si="3"/>
        <v>0</v>
      </c>
      <c r="Q26" s="10">
        <f t="shared" si="3"/>
        <v>1</v>
      </c>
      <c r="R26" s="10">
        <f t="shared" si="3"/>
        <v>2</v>
      </c>
      <c r="S26" s="10">
        <f t="shared" si="3"/>
        <v>2</v>
      </c>
      <c r="T26" s="10">
        <f t="shared" si="3"/>
        <v>2</v>
      </c>
      <c r="U26" s="10">
        <f t="shared" si="3"/>
        <v>3</v>
      </c>
    </row>
    <row r="27">
      <c r="L27" s="10" t="str">
        <f>$J$1</f>
        <v>PV</v>
      </c>
      <c r="M27" s="10">
        <f>$J$2</f>
        <v>10</v>
      </c>
      <c r="N27" s="10">
        <f t="shared" ref="N27:U27" si="4">$M27+N$24</f>
        <v>11</v>
      </c>
      <c r="O27" s="10">
        <f t="shared" si="4"/>
        <v>11</v>
      </c>
      <c r="P27" s="10">
        <f t="shared" si="4"/>
        <v>12</v>
      </c>
      <c r="Q27" s="10">
        <f t="shared" si="4"/>
        <v>12</v>
      </c>
      <c r="R27" s="10">
        <f t="shared" si="4"/>
        <v>12</v>
      </c>
      <c r="S27" s="10">
        <f t="shared" si="4"/>
        <v>12</v>
      </c>
      <c r="T27" s="10">
        <f t="shared" si="4"/>
        <v>13</v>
      </c>
      <c r="U27" s="10">
        <f t="shared" si="4"/>
        <v>14</v>
      </c>
    </row>
    <row r="28">
      <c r="L28" s="10" t="str">
        <f>$K$1</f>
        <v>con</v>
      </c>
      <c r="M28" s="10">
        <f>$K$2</f>
        <v>0</v>
      </c>
      <c r="N28" s="10">
        <f t="shared" ref="N28:P28" si="5">M28</f>
        <v>0</v>
      </c>
      <c r="O28" s="10">
        <f t="shared" si="5"/>
        <v>0</v>
      </c>
      <c r="P28" s="10">
        <f t="shared" si="5"/>
        <v>0</v>
      </c>
      <c r="Q28" s="10">
        <f>P28+1</f>
        <v>1</v>
      </c>
      <c r="R28" s="10">
        <f t="shared" ref="R28:T28" si="6">Q28</f>
        <v>1</v>
      </c>
      <c r="S28" s="10">
        <f t="shared" si="6"/>
        <v>1</v>
      </c>
      <c r="T28" s="10">
        <f t="shared" si="6"/>
        <v>1</v>
      </c>
      <c r="U28" s="10">
        <f>T28+1</f>
        <v>2</v>
      </c>
    </row>
    <row r="30">
      <c r="K30" s="9">
        <v>3.0</v>
      </c>
      <c r="L30" s="9" t="s">
        <v>238</v>
      </c>
      <c r="M30" s="10">
        <f t="shared" ref="M30:U30" si="7">CEILING(SUM(M34,M37,M40,M43,M46,M49,M52,M55,M58,M61,M64,M67,M70,M73)/$A$71*(6+$K30),1)-$K30</f>
        <v>2</v>
      </c>
      <c r="N30" s="10">
        <f t="shared" si="7"/>
        <v>3</v>
      </c>
      <c r="O30" s="10">
        <f t="shared" si="7"/>
        <v>3</v>
      </c>
      <c r="P30" s="10">
        <f t="shared" si="7"/>
        <v>3</v>
      </c>
      <c r="Q30" s="10">
        <f t="shared" si="7"/>
        <v>4</v>
      </c>
      <c r="R30" s="10">
        <f t="shared" si="7"/>
        <v>4</v>
      </c>
      <c r="S30" s="10">
        <f t="shared" si="7"/>
        <v>5</v>
      </c>
      <c r="T30" s="10">
        <f t="shared" si="7"/>
        <v>6</v>
      </c>
      <c r="U30" s="10">
        <f t="shared" si="7"/>
        <v>6</v>
      </c>
    </row>
    <row r="31">
      <c r="A31" s="9">
        <v>3.0</v>
      </c>
      <c r="W31" s="19" t="s">
        <v>238</v>
      </c>
      <c r="X31" s="20"/>
    </row>
    <row r="32">
      <c r="A32" s="10">
        <f>1+(ROW(B32)-ROW(B$32))/$A$31</f>
        <v>1</v>
      </c>
      <c r="B32" s="10" t="str">
        <f t="shared" ref="B32:C32" si="8">INDEX(B$4:B$17,$A32)</f>
        <v>Araignée géante</v>
      </c>
      <c r="C32" s="10">
        <f t="shared" si="8"/>
        <v>3</v>
      </c>
      <c r="E32" s="10">
        <f t="array" ref="E32">INDEX(E$4:E$17,$A32)</f>
        <v>1</v>
      </c>
      <c r="G32" s="10">
        <f t="shared" ref="G32:K32" si="9">INDEX(G$4:G$17,$A32)</f>
        <v>1</v>
      </c>
      <c r="H32" s="10">
        <f t="shared" si="9"/>
        <v>1</v>
      </c>
      <c r="I32" s="10">
        <f t="shared" si="9"/>
        <v>0</v>
      </c>
      <c r="J32" s="10">
        <f t="shared" si="9"/>
        <v>4</v>
      </c>
      <c r="K32" s="10">
        <f t="shared" si="9"/>
        <v>0</v>
      </c>
      <c r="L32" s="9" t="s">
        <v>228</v>
      </c>
      <c r="M32" s="10">
        <f t="shared" ref="M32:U32" si="10">CEILING(($J32-$K32)/(M$25-$I32-$K32), 1)</f>
        <v>2</v>
      </c>
      <c r="N32" s="10">
        <f t="shared" si="10"/>
        <v>2</v>
      </c>
      <c r="O32" s="10">
        <f t="shared" si="10"/>
        <v>2</v>
      </c>
      <c r="P32" s="10">
        <f t="shared" si="10"/>
        <v>1</v>
      </c>
      <c r="Q32" s="10">
        <f t="shared" si="10"/>
        <v>1</v>
      </c>
      <c r="R32" s="10">
        <f t="shared" si="10"/>
        <v>2</v>
      </c>
      <c r="S32" s="10">
        <f t="shared" si="10"/>
        <v>2</v>
      </c>
      <c r="T32" s="10">
        <f t="shared" si="10"/>
        <v>1</v>
      </c>
      <c r="U32" s="10">
        <f t="shared" si="10"/>
        <v>1</v>
      </c>
      <c r="W32" s="32"/>
      <c r="X32" s="27">
        <f>$E32</f>
        <v>1</v>
      </c>
    </row>
    <row r="33">
      <c r="L33" s="9" t="s">
        <v>236</v>
      </c>
      <c r="M33" s="10">
        <f t="shared" ref="M33:U33" si="11">M32*MAX($H32,$G32-M$26+$H32-M$28)</f>
        <v>4</v>
      </c>
      <c r="N33" s="10">
        <f t="shared" si="11"/>
        <v>4</v>
      </c>
      <c r="O33" s="10">
        <f t="shared" si="11"/>
        <v>2</v>
      </c>
      <c r="P33" s="10">
        <f t="shared" si="11"/>
        <v>2</v>
      </c>
      <c r="Q33" s="10">
        <f t="shared" si="11"/>
        <v>1</v>
      </c>
      <c r="R33" s="10">
        <f t="shared" si="11"/>
        <v>2</v>
      </c>
      <c r="S33" s="10">
        <f t="shared" si="11"/>
        <v>2</v>
      </c>
      <c r="T33" s="10">
        <f t="shared" si="11"/>
        <v>1</v>
      </c>
      <c r="U33" s="10">
        <f t="shared" si="11"/>
        <v>1</v>
      </c>
      <c r="V33" s="65"/>
    </row>
    <row r="34">
      <c r="A34" s="20"/>
      <c r="B34" s="20"/>
      <c r="D34" s="20"/>
      <c r="E34" s="20"/>
      <c r="F34" s="20"/>
      <c r="G34" s="20"/>
      <c r="H34" s="20"/>
      <c r="I34" s="20"/>
      <c r="J34" s="20"/>
      <c r="K34" s="20"/>
      <c r="L34" s="19" t="s">
        <v>237</v>
      </c>
      <c r="M34" s="21">
        <f t="shared" ref="M34:U34" si="12">IF(ISNUMBER(M33),IF(M33&lt;M$27, 1, 0), 0)</f>
        <v>1</v>
      </c>
      <c r="N34" s="21">
        <f t="shared" si="12"/>
        <v>1</v>
      </c>
      <c r="O34" s="21">
        <f t="shared" si="12"/>
        <v>1</v>
      </c>
      <c r="P34" s="21">
        <f t="shared" si="12"/>
        <v>1</v>
      </c>
      <c r="Q34" s="21">
        <f t="shared" si="12"/>
        <v>1</v>
      </c>
      <c r="R34" s="21">
        <f t="shared" si="12"/>
        <v>1</v>
      </c>
      <c r="S34" s="21">
        <f t="shared" si="12"/>
        <v>1</v>
      </c>
      <c r="T34" s="21">
        <f t="shared" si="12"/>
        <v>1</v>
      </c>
      <c r="U34" s="21">
        <f t="shared" si="12"/>
        <v>1</v>
      </c>
      <c r="V34" s="66">
        <f>SUM(M34:U34)/COUNT(M34:U34)</f>
        <v>1</v>
      </c>
      <c r="W34" s="21">
        <f>7-CEILING(V34*6,1)</f>
        <v>1</v>
      </c>
      <c r="X34" s="20"/>
    </row>
    <row r="35">
      <c r="A35" s="27">
        <f>1+(ROW(B35)-ROW(B$32))/$A$31</f>
        <v>2</v>
      </c>
      <c r="B35" s="27" t="str">
        <f t="shared" ref="B35:C35" si="13">INDEX(B$4:B$17,$A35)</f>
        <v>Goblin</v>
      </c>
      <c r="C35" s="10">
        <f t="shared" si="13"/>
        <v>3</v>
      </c>
      <c r="D35" s="32"/>
      <c r="E35" s="27">
        <f t="array" ref="E35">INDEX(E$4:E$17,$A35)</f>
        <v>1</v>
      </c>
      <c r="F35" s="32"/>
      <c r="G35" s="27">
        <f t="shared" ref="G35:K35" si="14">INDEX(G$4:G$17,$A35)</f>
        <v>2</v>
      </c>
      <c r="H35" s="27">
        <f t="shared" si="14"/>
        <v>0</v>
      </c>
      <c r="I35" s="27">
        <f t="shared" si="14"/>
        <v>0</v>
      </c>
      <c r="J35" s="27">
        <f t="shared" si="14"/>
        <v>4</v>
      </c>
      <c r="K35" s="27">
        <f t="shared" si="14"/>
        <v>0</v>
      </c>
      <c r="L35" s="27" t="str">
        <f>L$32</f>
        <v>tours</v>
      </c>
      <c r="M35" s="27">
        <f t="shared" ref="M35:U35" si="15">CEILING(($J35-$K35)/(M$25-$I35-$K35), 1)</f>
        <v>2</v>
      </c>
      <c r="N35" s="27">
        <f t="shared" si="15"/>
        <v>2</v>
      </c>
      <c r="O35" s="27">
        <f t="shared" si="15"/>
        <v>2</v>
      </c>
      <c r="P35" s="27">
        <f t="shared" si="15"/>
        <v>1</v>
      </c>
      <c r="Q35" s="27">
        <f t="shared" si="15"/>
        <v>1</v>
      </c>
      <c r="R35" s="27">
        <f t="shared" si="15"/>
        <v>2</v>
      </c>
      <c r="S35" s="27">
        <f t="shared" si="15"/>
        <v>2</v>
      </c>
      <c r="T35" s="27">
        <f t="shared" si="15"/>
        <v>1</v>
      </c>
      <c r="U35" s="27">
        <f t="shared" si="15"/>
        <v>1</v>
      </c>
      <c r="V35" s="32"/>
      <c r="W35" s="32"/>
      <c r="X35" s="27">
        <f>$E35</f>
        <v>1</v>
      </c>
    </row>
    <row r="36">
      <c r="L36" s="10" t="str">
        <f>L$33</f>
        <v>PV perdus</v>
      </c>
      <c r="M36" s="10">
        <f t="shared" ref="M36:U36" si="16">M35*MAX($H35,$G35-M$26+$H35-M$28)</f>
        <v>4</v>
      </c>
      <c r="N36" s="10">
        <f t="shared" si="16"/>
        <v>4</v>
      </c>
      <c r="O36" s="10">
        <f t="shared" si="16"/>
        <v>2</v>
      </c>
      <c r="P36" s="10">
        <f t="shared" si="16"/>
        <v>2</v>
      </c>
      <c r="Q36" s="10">
        <f t="shared" si="16"/>
        <v>0</v>
      </c>
      <c r="R36" s="10">
        <f t="shared" si="16"/>
        <v>0</v>
      </c>
      <c r="S36" s="10">
        <f t="shared" si="16"/>
        <v>0</v>
      </c>
      <c r="T36" s="10">
        <f t="shared" si="16"/>
        <v>0</v>
      </c>
      <c r="U36" s="10">
        <f t="shared" si="16"/>
        <v>0</v>
      </c>
      <c r="V36" s="65"/>
    </row>
    <row r="37">
      <c r="A37" s="20"/>
      <c r="B37" s="20"/>
      <c r="D37" s="20"/>
      <c r="E37" s="20"/>
      <c r="F37" s="20"/>
      <c r="G37" s="20"/>
      <c r="H37" s="20"/>
      <c r="I37" s="20"/>
      <c r="J37" s="20"/>
      <c r="K37" s="20"/>
      <c r="L37" s="21" t="str">
        <f>L$34</f>
        <v>victoire</v>
      </c>
      <c r="M37" s="21">
        <f t="shared" ref="M37:U37" si="17">IF(ISNUMBER(M36),IF(M36&lt;M$27, 1, 0), 0)</f>
        <v>1</v>
      </c>
      <c r="N37" s="21">
        <f t="shared" si="17"/>
        <v>1</v>
      </c>
      <c r="O37" s="21">
        <f t="shared" si="17"/>
        <v>1</v>
      </c>
      <c r="P37" s="21">
        <f t="shared" si="17"/>
        <v>1</v>
      </c>
      <c r="Q37" s="21">
        <f t="shared" si="17"/>
        <v>1</v>
      </c>
      <c r="R37" s="21">
        <f t="shared" si="17"/>
        <v>1</v>
      </c>
      <c r="S37" s="21">
        <f t="shared" si="17"/>
        <v>1</v>
      </c>
      <c r="T37" s="21">
        <f t="shared" si="17"/>
        <v>1</v>
      </c>
      <c r="U37" s="21">
        <f t="shared" si="17"/>
        <v>1</v>
      </c>
      <c r="V37" s="66">
        <f>SUM(M37:U37)/COUNT(M37:U37)</f>
        <v>1</v>
      </c>
      <c r="W37" s="21">
        <f>7-CEILING(V37*6,1)</f>
        <v>1</v>
      </c>
      <c r="X37" s="20"/>
    </row>
    <row r="38">
      <c r="A38" s="27">
        <f>1+(ROW(B38)-ROW(B$32))/$A$31</f>
        <v>3</v>
      </c>
      <c r="B38" s="27" t="str">
        <f t="shared" ref="B38:C38" si="18">INDEX(B$4:B$17,$A38)</f>
        <v>Squelette</v>
      </c>
      <c r="C38" s="10">
        <f t="shared" si="18"/>
        <v>3</v>
      </c>
      <c r="D38" s="32"/>
      <c r="E38" s="27">
        <f t="array" ref="E38">INDEX(E$4:E$17,$A38)</f>
        <v>1</v>
      </c>
      <c r="F38" s="32"/>
      <c r="G38" s="27">
        <f t="shared" ref="G38:K38" si="19">INDEX(G$4:G$17,$A38)</f>
        <v>1</v>
      </c>
      <c r="H38" s="27">
        <f t="shared" si="19"/>
        <v>0</v>
      </c>
      <c r="I38" s="27">
        <f t="shared" si="19"/>
        <v>1</v>
      </c>
      <c r="J38" s="27">
        <f t="shared" si="19"/>
        <v>2</v>
      </c>
      <c r="K38" s="27">
        <f t="shared" si="19"/>
        <v>1</v>
      </c>
      <c r="L38" s="27" t="str">
        <f>L$32</f>
        <v>tours</v>
      </c>
      <c r="M38" s="27" t="str">
        <f t="shared" ref="M38:U38" si="20">CEILING(($J38-$K38)/(M$25-$I38-$K38), 1)</f>
        <v>#DIV/0!</v>
      </c>
      <c r="N38" s="27">
        <f t="shared" si="20"/>
        <v>1</v>
      </c>
      <c r="O38" s="27" t="str">
        <f t="shared" si="20"/>
        <v>#DIV/0!</v>
      </c>
      <c r="P38" s="27">
        <f t="shared" si="20"/>
        <v>1</v>
      </c>
      <c r="Q38" s="27">
        <f t="shared" si="20"/>
        <v>1</v>
      </c>
      <c r="R38" s="27" t="str">
        <f t="shared" si="20"/>
        <v>#DIV/0!</v>
      </c>
      <c r="S38" s="27">
        <f t="shared" si="20"/>
        <v>1</v>
      </c>
      <c r="T38" s="27">
        <f t="shared" si="20"/>
        <v>1</v>
      </c>
      <c r="U38" s="27">
        <f t="shared" si="20"/>
        <v>1</v>
      </c>
      <c r="V38" s="32"/>
      <c r="W38" s="32"/>
      <c r="X38" s="27">
        <f>$E38</f>
        <v>1</v>
      </c>
    </row>
    <row r="39">
      <c r="L39" s="10" t="str">
        <f>L$33</f>
        <v>PV perdus</v>
      </c>
      <c r="M39" s="10" t="str">
        <f t="shared" ref="M39:U39" si="21">M38*MAX($H38,$G38-M$26+$H38-M$28)</f>
        <v>#DIV/0!</v>
      </c>
      <c r="N39" s="10">
        <f t="shared" si="21"/>
        <v>1</v>
      </c>
      <c r="O39" s="10" t="str">
        <f t="shared" si="21"/>
        <v>#DIV/0!</v>
      </c>
      <c r="P39" s="10">
        <f t="shared" si="21"/>
        <v>1</v>
      </c>
      <c r="Q39" s="10">
        <f t="shared" si="21"/>
        <v>0</v>
      </c>
      <c r="R39" s="10" t="str">
        <f t="shared" si="21"/>
        <v>#DIV/0!</v>
      </c>
      <c r="S39" s="10">
        <f t="shared" si="21"/>
        <v>0</v>
      </c>
      <c r="T39" s="10">
        <f t="shared" si="21"/>
        <v>0</v>
      </c>
      <c r="U39" s="10">
        <f t="shared" si="21"/>
        <v>0</v>
      </c>
      <c r="V39" s="65"/>
    </row>
    <row r="40">
      <c r="A40" s="20"/>
      <c r="B40" s="20"/>
      <c r="D40" s="20"/>
      <c r="E40" s="20"/>
      <c r="F40" s="20"/>
      <c r="G40" s="20"/>
      <c r="H40" s="20"/>
      <c r="I40" s="20"/>
      <c r="J40" s="20"/>
      <c r="K40" s="20"/>
      <c r="L40" s="21" t="str">
        <f>L$34</f>
        <v>victoire</v>
      </c>
      <c r="M40" s="21">
        <f t="shared" ref="M40:U40" si="22">IF(ISNUMBER(M39),IF(M39&lt;M$27, 1, 0), 0)</f>
        <v>0</v>
      </c>
      <c r="N40" s="21">
        <f t="shared" si="22"/>
        <v>1</v>
      </c>
      <c r="O40" s="21">
        <f t="shared" si="22"/>
        <v>0</v>
      </c>
      <c r="P40" s="21">
        <f t="shared" si="22"/>
        <v>1</v>
      </c>
      <c r="Q40" s="21">
        <f t="shared" si="22"/>
        <v>1</v>
      </c>
      <c r="R40" s="21">
        <f t="shared" si="22"/>
        <v>0</v>
      </c>
      <c r="S40" s="21">
        <f t="shared" si="22"/>
        <v>1</v>
      </c>
      <c r="T40" s="21">
        <f t="shared" si="22"/>
        <v>1</v>
      </c>
      <c r="U40" s="21">
        <f t="shared" si="22"/>
        <v>1</v>
      </c>
      <c r="V40" s="66">
        <f>SUM(M40:U40)/COUNT(M40:U40)</f>
        <v>0.6666666667</v>
      </c>
      <c r="W40" s="21">
        <f>7-CEILING(V40*6,1)</f>
        <v>3</v>
      </c>
      <c r="X40" s="20"/>
    </row>
    <row r="41">
      <c r="A41" s="27">
        <f>1+(ROW(B41)-ROW(B$32))/$A$31</f>
        <v>4</v>
      </c>
      <c r="B41" s="27" t="str">
        <f t="shared" ref="B41:C41" si="23">INDEX(B$4:B$17,$A41)</f>
        <v>Zombie</v>
      </c>
      <c r="C41" s="10">
        <f t="shared" si="23"/>
        <v>3</v>
      </c>
      <c r="D41" s="32"/>
      <c r="E41" s="27">
        <f t="array" ref="E41">INDEX(E$4:E$17,$A41)</f>
        <v>1</v>
      </c>
      <c r="F41" s="32"/>
      <c r="G41" s="27">
        <f t="shared" ref="G41:K41" si="24">INDEX(G$4:G$17,$A41)</f>
        <v>1</v>
      </c>
      <c r="H41" s="27">
        <f t="shared" si="24"/>
        <v>1</v>
      </c>
      <c r="I41" s="27">
        <f t="shared" si="24"/>
        <v>0</v>
      </c>
      <c r="J41" s="27">
        <f t="shared" si="24"/>
        <v>2</v>
      </c>
      <c r="K41" s="27">
        <f t="shared" si="24"/>
        <v>1</v>
      </c>
      <c r="L41" s="27" t="str">
        <f>L$32</f>
        <v>tours</v>
      </c>
      <c r="M41" s="27">
        <f t="shared" ref="M41:U41" si="25">CEILING(($J41-$K41)/(M$25-$I41-$K41), 1)</f>
        <v>1</v>
      </c>
      <c r="N41" s="27">
        <f t="shared" si="25"/>
        <v>1</v>
      </c>
      <c r="O41" s="27">
        <f t="shared" si="25"/>
        <v>1</v>
      </c>
      <c r="P41" s="27">
        <f t="shared" si="25"/>
        <v>1</v>
      </c>
      <c r="Q41" s="27">
        <f t="shared" si="25"/>
        <v>1</v>
      </c>
      <c r="R41" s="27">
        <f t="shared" si="25"/>
        <v>1</v>
      </c>
      <c r="S41" s="27">
        <f t="shared" si="25"/>
        <v>1</v>
      </c>
      <c r="T41" s="27">
        <f t="shared" si="25"/>
        <v>1</v>
      </c>
      <c r="U41" s="27">
        <f t="shared" si="25"/>
        <v>1</v>
      </c>
      <c r="V41" s="32"/>
      <c r="W41" s="32"/>
      <c r="X41" s="27">
        <f>$E41</f>
        <v>1</v>
      </c>
    </row>
    <row r="42">
      <c r="L42" s="10" t="str">
        <f>L$33</f>
        <v>PV perdus</v>
      </c>
      <c r="M42" s="10">
        <f t="shared" ref="M42:U42" si="26">M41*MAX($H41,$G41-M$26+$H41-M$28)</f>
        <v>2</v>
      </c>
      <c r="N42" s="10">
        <f t="shared" si="26"/>
        <v>2</v>
      </c>
      <c r="O42" s="10">
        <f t="shared" si="26"/>
        <v>1</v>
      </c>
      <c r="P42" s="10">
        <f t="shared" si="26"/>
        <v>2</v>
      </c>
      <c r="Q42" s="10">
        <f t="shared" si="26"/>
        <v>1</v>
      </c>
      <c r="R42" s="10">
        <f t="shared" si="26"/>
        <v>1</v>
      </c>
      <c r="S42" s="10">
        <f t="shared" si="26"/>
        <v>1</v>
      </c>
      <c r="T42" s="10">
        <f t="shared" si="26"/>
        <v>1</v>
      </c>
      <c r="U42" s="10">
        <f t="shared" si="26"/>
        <v>1</v>
      </c>
      <c r="V42" s="65"/>
    </row>
    <row r="43">
      <c r="A43" s="20"/>
      <c r="B43" s="20"/>
      <c r="D43" s="20"/>
      <c r="E43" s="20"/>
      <c r="F43" s="20"/>
      <c r="G43" s="20"/>
      <c r="H43" s="20"/>
      <c r="I43" s="20"/>
      <c r="J43" s="20"/>
      <c r="K43" s="20"/>
      <c r="L43" s="21" t="str">
        <f>L$34</f>
        <v>victoire</v>
      </c>
      <c r="M43" s="21">
        <f t="shared" ref="M43:U43" si="27">IF(ISNUMBER(M42),IF(M42&lt;M$27, 1, 0), 0)</f>
        <v>1</v>
      </c>
      <c r="N43" s="21">
        <f t="shared" si="27"/>
        <v>1</v>
      </c>
      <c r="O43" s="21">
        <f t="shared" si="27"/>
        <v>1</v>
      </c>
      <c r="P43" s="21">
        <f t="shared" si="27"/>
        <v>1</v>
      </c>
      <c r="Q43" s="21">
        <f t="shared" si="27"/>
        <v>1</v>
      </c>
      <c r="R43" s="21">
        <f t="shared" si="27"/>
        <v>1</v>
      </c>
      <c r="S43" s="21">
        <f t="shared" si="27"/>
        <v>1</v>
      </c>
      <c r="T43" s="21">
        <f t="shared" si="27"/>
        <v>1</v>
      </c>
      <c r="U43" s="21">
        <f t="shared" si="27"/>
        <v>1</v>
      </c>
      <c r="V43" s="66">
        <f>SUM(M43:U43)/COUNT(M43:U43)</f>
        <v>1</v>
      </c>
      <c r="W43" s="21">
        <f>7-CEILING(V43*6,1)</f>
        <v>1</v>
      </c>
      <c r="X43" s="20"/>
    </row>
    <row r="44">
      <c r="A44" s="27">
        <f>1+(ROW(B44)-ROW(B$32))/$A$31</f>
        <v>5</v>
      </c>
      <c r="B44" s="27" t="str">
        <f t="shared" ref="B44:C44" si="28">INDEX(B$4:B$17,$A44)</f>
        <v>Orc</v>
      </c>
      <c r="C44" s="10">
        <f t="shared" si="28"/>
        <v>4</v>
      </c>
      <c r="D44" s="32"/>
      <c r="E44" s="27">
        <f t="array" ref="E44">INDEX(E$4:E$17,$A44)</f>
        <v>2</v>
      </c>
      <c r="F44" s="32"/>
      <c r="G44" s="27">
        <f t="shared" ref="G44:K44" si="29">INDEX(G$4:G$17,$A44)</f>
        <v>3</v>
      </c>
      <c r="H44" s="27">
        <f t="shared" si="29"/>
        <v>0</v>
      </c>
      <c r="I44" s="27">
        <f t="shared" si="29"/>
        <v>1</v>
      </c>
      <c r="J44" s="27">
        <f t="shared" si="29"/>
        <v>6</v>
      </c>
      <c r="K44" s="27">
        <f t="shared" si="29"/>
        <v>0</v>
      </c>
      <c r="L44" s="27" t="str">
        <f>L$32</f>
        <v>tours</v>
      </c>
      <c r="M44" s="27">
        <f t="shared" ref="M44:U44" si="30">CEILING(($J44-$K44)/(M$25-$I44-$K44), 1)</f>
        <v>6</v>
      </c>
      <c r="N44" s="27">
        <f t="shared" si="30"/>
        <v>3</v>
      </c>
      <c r="O44" s="27">
        <f t="shared" si="30"/>
        <v>6</v>
      </c>
      <c r="P44" s="27">
        <f t="shared" si="30"/>
        <v>2</v>
      </c>
      <c r="Q44" s="27">
        <f t="shared" si="30"/>
        <v>2</v>
      </c>
      <c r="R44" s="27">
        <f t="shared" si="30"/>
        <v>6</v>
      </c>
      <c r="S44" s="27">
        <f t="shared" si="30"/>
        <v>3</v>
      </c>
      <c r="T44" s="27">
        <f t="shared" si="30"/>
        <v>2</v>
      </c>
      <c r="U44" s="27">
        <f t="shared" si="30"/>
        <v>2</v>
      </c>
      <c r="V44" s="32"/>
      <c r="W44" s="32"/>
      <c r="X44" s="27">
        <f>$E44</f>
        <v>2</v>
      </c>
    </row>
    <row r="45">
      <c r="L45" s="10" t="str">
        <f>L$33</f>
        <v>PV perdus</v>
      </c>
      <c r="M45" s="10">
        <f t="shared" ref="M45:U45" si="31">M44*MAX($H44,$G44-M$26+$H44-M$28)</f>
        <v>18</v>
      </c>
      <c r="N45" s="10">
        <f t="shared" si="31"/>
        <v>9</v>
      </c>
      <c r="O45" s="10">
        <f t="shared" si="31"/>
        <v>12</v>
      </c>
      <c r="P45" s="10">
        <f t="shared" si="31"/>
        <v>6</v>
      </c>
      <c r="Q45" s="10">
        <f t="shared" si="31"/>
        <v>2</v>
      </c>
      <c r="R45" s="10">
        <f t="shared" si="31"/>
        <v>0</v>
      </c>
      <c r="S45" s="10">
        <f t="shared" si="31"/>
        <v>0</v>
      </c>
      <c r="T45" s="10">
        <f t="shared" si="31"/>
        <v>0</v>
      </c>
      <c r="U45" s="10">
        <f t="shared" si="31"/>
        <v>0</v>
      </c>
      <c r="V45" s="65"/>
    </row>
    <row r="46">
      <c r="A46" s="20"/>
      <c r="B46" s="20"/>
      <c r="D46" s="20"/>
      <c r="E46" s="20"/>
      <c r="F46" s="20"/>
      <c r="G46" s="20"/>
      <c r="H46" s="20"/>
      <c r="I46" s="20"/>
      <c r="J46" s="20"/>
      <c r="K46" s="20"/>
      <c r="L46" s="21" t="str">
        <f>L$34</f>
        <v>victoire</v>
      </c>
      <c r="M46" s="21">
        <f t="shared" ref="M46:U46" si="32">IF(ISNUMBER(M45),IF(M45&lt;M$27, 1, 0), 0)</f>
        <v>0</v>
      </c>
      <c r="N46" s="21">
        <f t="shared" si="32"/>
        <v>1</v>
      </c>
      <c r="O46" s="21">
        <f t="shared" si="32"/>
        <v>0</v>
      </c>
      <c r="P46" s="21">
        <f t="shared" si="32"/>
        <v>1</v>
      </c>
      <c r="Q46" s="21">
        <f t="shared" si="32"/>
        <v>1</v>
      </c>
      <c r="R46" s="21">
        <f t="shared" si="32"/>
        <v>1</v>
      </c>
      <c r="S46" s="21">
        <f t="shared" si="32"/>
        <v>1</v>
      </c>
      <c r="T46" s="21">
        <f t="shared" si="32"/>
        <v>1</v>
      </c>
      <c r="U46" s="21">
        <f t="shared" si="32"/>
        <v>1</v>
      </c>
      <c r="V46" s="66">
        <f>SUM(M46:U46)/COUNT(M46:U46)</f>
        <v>0.7777777778</v>
      </c>
      <c r="W46" s="21">
        <f>7-CEILING(V46*6,1)</f>
        <v>2</v>
      </c>
      <c r="X46" s="20"/>
    </row>
    <row r="47">
      <c r="A47" s="27">
        <f>1+(ROW(B47)-ROW(B$32))/$A$31</f>
        <v>6</v>
      </c>
      <c r="B47" s="27" t="str">
        <f t="shared" ref="B47:C47" si="33">INDEX(B$4:B$17,$A47)</f>
        <v>Momie</v>
      </c>
      <c r="C47" s="10">
        <f t="shared" si="33"/>
        <v>4</v>
      </c>
      <c r="D47" s="32"/>
      <c r="E47" s="27">
        <f t="array" ref="E47">INDEX(E$4:E$17,$A47)</f>
        <v>2</v>
      </c>
      <c r="F47" s="32"/>
      <c r="G47" s="27">
        <f t="shared" ref="G47:K47" si="34">INDEX(G$4:G$17,$A47)</f>
        <v>2</v>
      </c>
      <c r="H47" s="27">
        <f t="shared" si="34"/>
        <v>1</v>
      </c>
      <c r="I47" s="27">
        <f t="shared" si="34"/>
        <v>1</v>
      </c>
      <c r="J47" s="27">
        <f t="shared" si="34"/>
        <v>8</v>
      </c>
      <c r="K47" s="27">
        <f t="shared" si="34"/>
        <v>0</v>
      </c>
      <c r="L47" s="27" t="str">
        <f>L$32</f>
        <v>tours</v>
      </c>
      <c r="M47" s="27">
        <f t="shared" ref="M47:U47" si="35">CEILING(($J47-$K47)/(M$25-$I47-$K47), 1)</f>
        <v>8</v>
      </c>
      <c r="N47" s="27">
        <f t="shared" si="35"/>
        <v>4</v>
      </c>
      <c r="O47" s="27">
        <f t="shared" si="35"/>
        <v>8</v>
      </c>
      <c r="P47" s="27">
        <f t="shared" si="35"/>
        <v>3</v>
      </c>
      <c r="Q47" s="27">
        <f t="shared" si="35"/>
        <v>3</v>
      </c>
      <c r="R47" s="27">
        <f t="shared" si="35"/>
        <v>8</v>
      </c>
      <c r="S47" s="27">
        <f t="shared" si="35"/>
        <v>4</v>
      </c>
      <c r="T47" s="27">
        <f t="shared" si="35"/>
        <v>3</v>
      </c>
      <c r="U47" s="27">
        <f t="shared" si="35"/>
        <v>2</v>
      </c>
      <c r="V47" s="32"/>
      <c r="W47" s="32"/>
      <c r="X47" s="27">
        <f>$E47</f>
        <v>2</v>
      </c>
    </row>
    <row r="48">
      <c r="L48" s="10" t="str">
        <f>L$33</f>
        <v>PV perdus</v>
      </c>
      <c r="M48" s="10">
        <f t="shared" ref="M48:U48" si="36">M47*MAX($H47,$G47-M$26+$H47-M$28)</f>
        <v>24</v>
      </c>
      <c r="N48" s="10">
        <f t="shared" si="36"/>
        <v>12</v>
      </c>
      <c r="O48" s="10">
        <f t="shared" si="36"/>
        <v>16</v>
      </c>
      <c r="P48" s="10">
        <f t="shared" si="36"/>
        <v>9</v>
      </c>
      <c r="Q48" s="10">
        <f t="shared" si="36"/>
        <v>3</v>
      </c>
      <c r="R48" s="10">
        <f t="shared" si="36"/>
        <v>8</v>
      </c>
      <c r="S48" s="10">
        <f t="shared" si="36"/>
        <v>4</v>
      </c>
      <c r="T48" s="10">
        <f t="shared" si="36"/>
        <v>3</v>
      </c>
      <c r="U48" s="10">
        <f t="shared" si="36"/>
        <v>2</v>
      </c>
      <c r="V48" s="65"/>
    </row>
    <row r="49">
      <c r="A49" s="20"/>
      <c r="B49" s="20"/>
      <c r="D49" s="20"/>
      <c r="E49" s="20"/>
      <c r="F49" s="20"/>
      <c r="G49" s="20"/>
      <c r="H49" s="20"/>
      <c r="I49" s="20"/>
      <c r="J49" s="20"/>
      <c r="K49" s="20"/>
      <c r="L49" s="21" t="str">
        <f>L$34</f>
        <v>victoire</v>
      </c>
      <c r="M49" s="21">
        <f t="shared" ref="M49:U49" si="37">IF(ISNUMBER(M48),IF(M48&lt;M$27, 1, 0), 0)</f>
        <v>0</v>
      </c>
      <c r="N49" s="21">
        <f t="shared" si="37"/>
        <v>0</v>
      </c>
      <c r="O49" s="21">
        <f t="shared" si="37"/>
        <v>0</v>
      </c>
      <c r="P49" s="21">
        <f t="shared" si="37"/>
        <v>1</v>
      </c>
      <c r="Q49" s="21">
        <f t="shared" si="37"/>
        <v>1</v>
      </c>
      <c r="R49" s="21">
        <f t="shared" si="37"/>
        <v>1</v>
      </c>
      <c r="S49" s="21">
        <f t="shared" si="37"/>
        <v>1</v>
      </c>
      <c r="T49" s="21">
        <f t="shared" si="37"/>
        <v>1</v>
      </c>
      <c r="U49" s="21">
        <f t="shared" si="37"/>
        <v>1</v>
      </c>
      <c r="V49" s="66">
        <f>SUM(M49:U49)/COUNT(M49:U49)</f>
        <v>0.6666666667</v>
      </c>
      <c r="W49" s="21">
        <f>7-CEILING(V49*6,1)</f>
        <v>3</v>
      </c>
      <c r="X49" s="20"/>
    </row>
    <row r="50">
      <c r="A50" s="27">
        <f>1+(ROW(B50)-ROW(B$32))/$A$31</f>
        <v>7</v>
      </c>
      <c r="B50" s="27" t="str">
        <f t="shared" ref="B50:C50" si="38">INDEX(B$4:B$17,$A50)</f>
        <v>Loup-Garou</v>
      </c>
      <c r="C50" s="10">
        <f t="shared" si="38"/>
        <v>2</v>
      </c>
      <c r="D50" s="32"/>
      <c r="E50" s="27">
        <f t="array" ref="E50">INDEX(E$4:E$17,$A50)</f>
        <v>3</v>
      </c>
      <c r="F50" s="32"/>
      <c r="G50" s="27">
        <f t="shared" ref="G50:K50" si="39">INDEX(G$4:G$17,$A50)</f>
        <v>4</v>
      </c>
      <c r="H50" s="27">
        <f t="shared" si="39"/>
        <v>0</v>
      </c>
      <c r="I50" s="27">
        <f t="shared" si="39"/>
        <v>2</v>
      </c>
      <c r="J50" s="27">
        <f t="shared" si="39"/>
        <v>8</v>
      </c>
      <c r="K50" s="27">
        <f t="shared" si="39"/>
        <v>1</v>
      </c>
      <c r="L50" s="27" t="str">
        <f>L$32</f>
        <v>tours</v>
      </c>
      <c r="M50" s="27">
        <f t="shared" ref="M50:U50" si="40">CEILING(($J50-$K50)/(M$25-$I50-$K50), 1)</f>
        <v>-7</v>
      </c>
      <c r="N50" s="27" t="str">
        <f t="shared" si="40"/>
        <v>#DIV/0!</v>
      </c>
      <c r="O50" s="27">
        <f t="shared" si="40"/>
        <v>-7</v>
      </c>
      <c r="P50" s="27">
        <f t="shared" si="40"/>
        <v>7</v>
      </c>
      <c r="Q50" s="27">
        <f t="shared" si="40"/>
        <v>7</v>
      </c>
      <c r="R50" s="27">
        <f t="shared" si="40"/>
        <v>-7</v>
      </c>
      <c r="S50" s="27" t="str">
        <f t="shared" si="40"/>
        <v>#DIV/0!</v>
      </c>
      <c r="T50" s="27">
        <f t="shared" si="40"/>
        <v>7</v>
      </c>
      <c r="U50" s="27">
        <f t="shared" si="40"/>
        <v>4</v>
      </c>
      <c r="V50" s="32"/>
      <c r="W50" s="32"/>
      <c r="X50" s="27">
        <f>$E50</f>
        <v>3</v>
      </c>
    </row>
    <row r="51">
      <c r="L51" s="10" t="str">
        <f>L$33</f>
        <v>PV perdus</v>
      </c>
      <c r="M51" s="10">
        <f t="shared" ref="M51:U51" si="41">M50*MAX($H50,$G50-M$26+$H50-M$28)</f>
        <v>-28</v>
      </c>
      <c r="N51" s="10" t="str">
        <f t="shared" si="41"/>
        <v>#DIV/0!</v>
      </c>
      <c r="O51" s="10">
        <f t="shared" si="41"/>
        <v>-21</v>
      </c>
      <c r="P51" s="10">
        <f t="shared" si="41"/>
        <v>28</v>
      </c>
      <c r="Q51" s="10">
        <f t="shared" si="41"/>
        <v>14</v>
      </c>
      <c r="R51" s="10">
        <f t="shared" si="41"/>
        <v>-7</v>
      </c>
      <c r="S51" s="10" t="str">
        <f t="shared" si="41"/>
        <v>#DIV/0!</v>
      </c>
      <c r="T51" s="10">
        <f t="shared" si="41"/>
        <v>7</v>
      </c>
      <c r="U51" s="10">
        <f t="shared" si="41"/>
        <v>0</v>
      </c>
      <c r="V51" s="65"/>
    </row>
    <row r="52">
      <c r="A52" s="20"/>
      <c r="B52" s="20"/>
      <c r="D52" s="20"/>
      <c r="E52" s="20"/>
      <c r="F52" s="20"/>
      <c r="G52" s="20"/>
      <c r="H52" s="20"/>
      <c r="I52" s="20"/>
      <c r="J52" s="20"/>
      <c r="K52" s="20"/>
      <c r="L52" s="21" t="str">
        <f>L$34</f>
        <v>victoire</v>
      </c>
      <c r="M52" s="21">
        <f t="shared" ref="M52:U52" si="42">IF(ISNUMBER(M51),IF(M51&lt;M$27, 1, 0), 0)</f>
        <v>1</v>
      </c>
      <c r="N52" s="21">
        <f t="shared" si="42"/>
        <v>0</v>
      </c>
      <c r="O52" s="21">
        <f t="shared" si="42"/>
        <v>1</v>
      </c>
      <c r="P52" s="21">
        <f t="shared" si="42"/>
        <v>0</v>
      </c>
      <c r="Q52" s="21">
        <f t="shared" si="42"/>
        <v>0</v>
      </c>
      <c r="R52" s="21">
        <f t="shared" si="42"/>
        <v>1</v>
      </c>
      <c r="S52" s="21">
        <f t="shared" si="42"/>
        <v>0</v>
      </c>
      <c r="T52" s="21">
        <f t="shared" si="42"/>
        <v>1</v>
      </c>
      <c r="U52" s="21">
        <f t="shared" si="42"/>
        <v>1</v>
      </c>
      <c r="V52" s="66">
        <f>SUM(M52:U52)/COUNT(M52:U52)</f>
        <v>0.5555555556</v>
      </c>
      <c r="W52" s="21">
        <f>7-CEILING(V52*6,1)</f>
        <v>3</v>
      </c>
      <c r="X52" s="20"/>
    </row>
    <row r="53">
      <c r="A53" s="27">
        <f>1+(ROW(B53)-ROW(B$32))/$A$31</f>
        <v>8</v>
      </c>
      <c r="B53" s="27" t="str">
        <f t="shared" ref="B53:C53" si="43">INDEX(B$4:B$17,$A53)</f>
        <v>Ogre</v>
      </c>
      <c r="C53" s="10">
        <f t="shared" si="43"/>
        <v>2</v>
      </c>
      <c r="D53" s="32"/>
      <c r="E53" s="27">
        <f t="array" ref="E53">INDEX(E$4:E$17,$A53)</f>
        <v>3</v>
      </c>
      <c r="F53" s="32"/>
      <c r="G53" s="27">
        <f t="shared" ref="G53:K53" si="44">INDEX(G$4:G$17,$A53)</f>
        <v>4</v>
      </c>
      <c r="H53" s="27">
        <f t="shared" si="44"/>
        <v>0</v>
      </c>
      <c r="I53" s="27">
        <f t="shared" si="44"/>
        <v>2</v>
      </c>
      <c r="J53" s="27">
        <f t="shared" si="44"/>
        <v>10</v>
      </c>
      <c r="K53" s="27">
        <f t="shared" si="44"/>
        <v>0</v>
      </c>
      <c r="L53" s="27" t="str">
        <f>L$32</f>
        <v>tours</v>
      </c>
      <c r="M53" s="27" t="str">
        <f t="shared" ref="M53:U53" si="45">CEILING(($J53-$K53)/(M$25-$I53-$K53), 1)</f>
        <v>#DIV/0!</v>
      </c>
      <c r="N53" s="27">
        <f t="shared" si="45"/>
        <v>10</v>
      </c>
      <c r="O53" s="27" t="str">
        <f t="shared" si="45"/>
        <v>#DIV/0!</v>
      </c>
      <c r="P53" s="27">
        <f t="shared" si="45"/>
        <v>5</v>
      </c>
      <c r="Q53" s="27">
        <f t="shared" si="45"/>
        <v>5</v>
      </c>
      <c r="R53" s="27" t="str">
        <f t="shared" si="45"/>
        <v>#DIV/0!</v>
      </c>
      <c r="S53" s="27">
        <f t="shared" si="45"/>
        <v>10</v>
      </c>
      <c r="T53" s="27">
        <f t="shared" si="45"/>
        <v>5</v>
      </c>
      <c r="U53" s="27">
        <f t="shared" si="45"/>
        <v>4</v>
      </c>
      <c r="V53" s="32"/>
      <c r="W53" s="32"/>
      <c r="X53" s="27">
        <f>$E53</f>
        <v>3</v>
      </c>
    </row>
    <row r="54">
      <c r="L54" s="10" t="str">
        <f>L$33</f>
        <v>PV perdus</v>
      </c>
      <c r="M54" s="10" t="str">
        <f t="shared" ref="M54:U54" si="46">M53*MAX($H53,$G53-M$26+$H53-M$28)</f>
        <v>#DIV/0!</v>
      </c>
      <c r="N54" s="10">
        <f t="shared" si="46"/>
        <v>40</v>
      </c>
      <c r="O54" s="10" t="str">
        <f t="shared" si="46"/>
        <v>#DIV/0!</v>
      </c>
      <c r="P54" s="10">
        <f t="shared" si="46"/>
        <v>20</v>
      </c>
      <c r="Q54" s="10">
        <f t="shared" si="46"/>
        <v>10</v>
      </c>
      <c r="R54" s="10" t="str">
        <f t="shared" si="46"/>
        <v>#DIV/0!</v>
      </c>
      <c r="S54" s="10">
        <f t="shared" si="46"/>
        <v>10</v>
      </c>
      <c r="T54" s="10">
        <f t="shared" si="46"/>
        <v>5</v>
      </c>
      <c r="U54" s="10">
        <f t="shared" si="46"/>
        <v>0</v>
      </c>
      <c r="V54" s="65"/>
    </row>
    <row r="55">
      <c r="A55" s="20"/>
      <c r="B55" s="20"/>
      <c r="D55" s="20"/>
      <c r="E55" s="20"/>
      <c r="F55" s="20"/>
      <c r="G55" s="20"/>
      <c r="H55" s="20"/>
      <c r="I55" s="20"/>
      <c r="J55" s="20"/>
      <c r="K55" s="20"/>
      <c r="L55" s="21" t="str">
        <f>L$34</f>
        <v>victoire</v>
      </c>
      <c r="M55" s="21">
        <f t="shared" ref="M55:U55" si="47">IF(ISNUMBER(M54),IF(M54&lt;M$27, 1, 0), 0)</f>
        <v>0</v>
      </c>
      <c r="N55" s="21">
        <f t="shared" si="47"/>
        <v>0</v>
      </c>
      <c r="O55" s="21">
        <f t="shared" si="47"/>
        <v>0</v>
      </c>
      <c r="P55" s="21">
        <f t="shared" si="47"/>
        <v>0</v>
      </c>
      <c r="Q55" s="21">
        <f t="shared" si="47"/>
        <v>1</v>
      </c>
      <c r="R55" s="21">
        <f t="shared" si="47"/>
        <v>0</v>
      </c>
      <c r="S55" s="21">
        <f t="shared" si="47"/>
        <v>1</v>
      </c>
      <c r="T55" s="21">
        <f t="shared" si="47"/>
        <v>1</v>
      </c>
      <c r="U55" s="21">
        <f t="shared" si="47"/>
        <v>1</v>
      </c>
      <c r="V55" s="66">
        <f>SUM(M55:U55)/COUNT(M55:U55)</f>
        <v>0.4444444444</v>
      </c>
      <c r="W55" s="21">
        <f>7-CEILING(V55*6,1)</f>
        <v>4</v>
      </c>
      <c r="X55" s="20"/>
    </row>
    <row r="56">
      <c r="A56" s="27">
        <f>1+(ROW(B56)-ROW(B$32))/$A$31</f>
        <v>9</v>
      </c>
      <c r="B56" s="27" t="str">
        <f t="shared" ref="B56:C56" si="48">INDEX(B$4:B$17,$A56)</f>
        <v>Sorcière</v>
      </c>
      <c r="C56" s="10">
        <f t="shared" si="48"/>
        <v>2</v>
      </c>
      <c r="D56" s="32"/>
      <c r="E56" s="27">
        <f t="array" ref="E56">INDEX(E$4:E$17,$A56)</f>
        <v>4</v>
      </c>
      <c r="F56" s="32"/>
      <c r="G56" s="27">
        <f t="shared" ref="G56:K56" si="49">INDEX(G$4:G$17,$A56)</f>
        <v>2</v>
      </c>
      <c r="H56" s="27">
        <f t="shared" si="49"/>
        <v>0</v>
      </c>
      <c r="I56" s="27">
        <f t="shared" si="49"/>
        <v>0</v>
      </c>
      <c r="J56" s="27">
        <f t="shared" si="49"/>
        <v>6</v>
      </c>
      <c r="K56" s="27">
        <f t="shared" si="49"/>
        <v>0</v>
      </c>
      <c r="L56" s="27" t="str">
        <f>L$32</f>
        <v>tours</v>
      </c>
      <c r="M56" s="27">
        <f t="shared" ref="M56:U56" si="50">CEILING(($J56-$K56)/(M$25-$I56-$K56), 1)</f>
        <v>3</v>
      </c>
      <c r="N56" s="27">
        <f t="shared" si="50"/>
        <v>2</v>
      </c>
      <c r="O56" s="27">
        <f t="shared" si="50"/>
        <v>3</v>
      </c>
      <c r="P56" s="27">
        <f t="shared" si="50"/>
        <v>2</v>
      </c>
      <c r="Q56" s="27">
        <f t="shared" si="50"/>
        <v>2</v>
      </c>
      <c r="R56" s="27">
        <f t="shared" si="50"/>
        <v>3</v>
      </c>
      <c r="S56" s="27">
        <f t="shared" si="50"/>
        <v>2</v>
      </c>
      <c r="T56" s="27">
        <f t="shared" si="50"/>
        <v>2</v>
      </c>
      <c r="U56" s="27">
        <f t="shared" si="50"/>
        <v>2</v>
      </c>
      <c r="V56" s="32"/>
      <c r="W56" s="32"/>
      <c r="X56" s="27">
        <f>$E56</f>
        <v>4</v>
      </c>
    </row>
    <row r="57">
      <c r="L57" s="10" t="str">
        <f>L$33</f>
        <v>PV perdus</v>
      </c>
      <c r="M57" s="10">
        <f t="shared" ref="M57:U57" si="51">M56*MAX($H56,$G56-M$26+$H56-M$28)</f>
        <v>6</v>
      </c>
      <c r="N57" s="10">
        <f t="shared" si="51"/>
        <v>4</v>
      </c>
      <c r="O57" s="10">
        <f t="shared" si="51"/>
        <v>3</v>
      </c>
      <c r="P57" s="10">
        <f t="shared" si="51"/>
        <v>4</v>
      </c>
      <c r="Q57" s="10">
        <f t="shared" si="51"/>
        <v>0</v>
      </c>
      <c r="R57" s="10">
        <f t="shared" si="51"/>
        <v>0</v>
      </c>
      <c r="S57" s="10">
        <f t="shared" si="51"/>
        <v>0</v>
      </c>
      <c r="T57" s="10">
        <f t="shared" si="51"/>
        <v>0</v>
      </c>
      <c r="U57" s="10">
        <f t="shared" si="51"/>
        <v>0</v>
      </c>
      <c r="V57" s="65"/>
    </row>
    <row r="58">
      <c r="A58" s="20"/>
      <c r="B58" s="20"/>
      <c r="D58" s="20"/>
      <c r="E58" s="20"/>
      <c r="F58" s="20"/>
      <c r="G58" s="20"/>
      <c r="H58" s="20"/>
      <c r="I58" s="20"/>
      <c r="J58" s="20"/>
      <c r="K58" s="20"/>
      <c r="L58" s="21" t="str">
        <f>L$34</f>
        <v>victoire</v>
      </c>
      <c r="M58" s="21">
        <f t="shared" ref="M58:U58" si="52">IF(ISNUMBER(M57),IF(M57&lt;M$27, 1, 0), 0)</f>
        <v>1</v>
      </c>
      <c r="N58" s="21">
        <f t="shared" si="52"/>
        <v>1</v>
      </c>
      <c r="O58" s="21">
        <f t="shared" si="52"/>
        <v>1</v>
      </c>
      <c r="P58" s="21">
        <f t="shared" si="52"/>
        <v>1</v>
      </c>
      <c r="Q58" s="21">
        <f t="shared" si="52"/>
        <v>1</v>
      </c>
      <c r="R58" s="21">
        <f t="shared" si="52"/>
        <v>1</v>
      </c>
      <c r="S58" s="21">
        <f t="shared" si="52"/>
        <v>1</v>
      </c>
      <c r="T58" s="21">
        <f t="shared" si="52"/>
        <v>1</v>
      </c>
      <c r="U58" s="21">
        <f t="shared" si="52"/>
        <v>1</v>
      </c>
      <c r="V58" s="66">
        <f>SUM(M58:U58)/COUNT(M58:U58)</f>
        <v>1</v>
      </c>
      <c r="W58" s="21">
        <f>7-CEILING(V58*6,1)</f>
        <v>1</v>
      </c>
      <c r="X58" s="20"/>
    </row>
    <row r="59">
      <c r="A59" s="27">
        <f>1+(ROW(B59)-ROW(B$32))/$A$31</f>
        <v>10</v>
      </c>
      <c r="B59" s="27" t="str">
        <f t="shared" ref="B59:C59" si="53">INDEX(B$4:B$17,$A59)</f>
        <v>Spectre</v>
      </c>
      <c r="C59" s="10">
        <f t="shared" si="53"/>
        <v>2</v>
      </c>
      <c r="D59" s="32"/>
      <c r="E59" s="27">
        <f t="array" ref="E59">INDEX(E$4:E$17,$A59)</f>
        <v>4</v>
      </c>
      <c r="F59" s="32"/>
      <c r="G59" s="27">
        <f t="shared" ref="G59:K59" si="54">INDEX(G$4:G$17,$A59)</f>
        <v>0</v>
      </c>
      <c r="H59" s="27">
        <f t="shared" si="54"/>
        <v>2</v>
      </c>
      <c r="I59" s="27">
        <f t="shared" si="54"/>
        <v>0</v>
      </c>
      <c r="J59" s="27">
        <f t="shared" si="54"/>
        <v>5</v>
      </c>
      <c r="K59" s="27">
        <f t="shared" si="54"/>
        <v>0</v>
      </c>
      <c r="L59" s="27" t="str">
        <f>L$32</f>
        <v>tours</v>
      </c>
      <c r="M59" s="27">
        <f t="shared" ref="M59:U59" si="55">CEILING(($J59-$K59)/(1-$K59), 1)</f>
        <v>5</v>
      </c>
      <c r="N59" s="27">
        <f t="shared" si="55"/>
        <v>5</v>
      </c>
      <c r="O59" s="27">
        <f t="shared" si="55"/>
        <v>5</v>
      </c>
      <c r="P59" s="27">
        <f t="shared" si="55"/>
        <v>5</v>
      </c>
      <c r="Q59" s="27">
        <f t="shared" si="55"/>
        <v>5</v>
      </c>
      <c r="R59" s="27">
        <f t="shared" si="55"/>
        <v>5</v>
      </c>
      <c r="S59" s="27">
        <f t="shared" si="55"/>
        <v>5</v>
      </c>
      <c r="T59" s="27">
        <f t="shared" si="55"/>
        <v>5</v>
      </c>
      <c r="U59" s="27">
        <f t="shared" si="55"/>
        <v>5</v>
      </c>
      <c r="V59" s="32"/>
      <c r="W59" s="32"/>
      <c r="X59" s="27">
        <f>$E59</f>
        <v>4</v>
      </c>
    </row>
    <row r="60">
      <c r="L60" s="10" t="str">
        <f>L$33</f>
        <v>PV perdus</v>
      </c>
      <c r="M60" s="10">
        <f t="shared" ref="M60:U60" si="56">M59*MAX($H59,$G59-M$26+$H59-M$28)</f>
        <v>10</v>
      </c>
      <c r="N60" s="10">
        <f t="shared" si="56"/>
        <v>10</v>
      </c>
      <c r="O60" s="10">
        <f t="shared" si="56"/>
        <v>10</v>
      </c>
      <c r="P60" s="10">
        <f t="shared" si="56"/>
        <v>10</v>
      </c>
      <c r="Q60" s="10">
        <f t="shared" si="56"/>
        <v>10</v>
      </c>
      <c r="R60" s="10">
        <f t="shared" si="56"/>
        <v>10</v>
      </c>
      <c r="S60" s="10">
        <f t="shared" si="56"/>
        <v>10</v>
      </c>
      <c r="T60" s="10">
        <f t="shared" si="56"/>
        <v>10</v>
      </c>
      <c r="U60" s="10">
        <f t="shared" si="56"/>
        <v>10</v>
      </c>
      <c r="V60" s="65"/>
    </row>
    <row r="61">
      <c r="A61" s="20"/>
      <c r="B61" s="20"/>
      <c r="D61" s="20"/>
      <c r="E61" s="20"/>
      <c r="F61" s="20"/>
      <c r="G61" s="20"/>
      <c r="H61" s="20"/>
      <c r="I61" s="20"/>
      <c r="J61" s="20"/>
      <c r="K61" s="20"/>
      <c r="L61" s="21" t="str">
        <f>L$34</f>
        <v>victoire</v>
      </c>
      <c r="M61" s="21">
        <f t="shared" ref="M61:U61" si="57">IF(ISNUMBER(M60),IF(M60&lt;M$27, 1, 0), 0)</f>
        <v>0</v>
      </c>
      <c r="N61" s="21">
        <f t="shared" si="57"/>
        <v>1</v>
      </c>
      <c r="O61" s="21">
        <f t="shared" si="57"/>
        <v>1</v>
      </c>
      <c r="P61" s="21">
        <f t="shared" si="57"/>
        <v>1</v>
      </c>
      <c r="Q61" s="21">
        <f t="shared" si="57"/>
        <v>1</v>
      </c>
      <c r="R61" s="21">
        <f t="shared" si="57"/>
        <v>1</v>
      </c>
      <c r="S61" s="21">
        <f t="shared" si="57"/>
        <v>1</v>
      </c>
      <c r="T61" s="21">
        <f t="shared" si="57"/>
        <v>1</v>
      </c>
      <c r="U61" s="21">
        <f t="shared" si="57"/>
        <v>1</v>
      </c>
      <c r="V61" s="66">
        <f>SUM(M61:U61)/COUNT(M61:U61)</f>
        <v>0.8888888889</v>
      </c>
      <c r="W61" s="21">
        <f>7-CEILING(V61*6,1)</f>
        <v>1</v>
      </c>
      <c r="X61" s="20"/>
    </row>
    <row r="62">
      <c r="A62" s="27">
        <f>1+(ROW(B62)-ROW(B$32))/$A$31</f>
        <v>11</v>
      </c>
      <c r="B62" s="27" t="str">
        <f t="shared" ref="B62:C62" si="58">INDEX(B$4:B$17,$A62)</f>
        <v>Chevalier du chaos</v>
      </c>
      <c r="C62" s="10">
        <f t="shared" si="58"/>
        <v>2</v>
      </c>
      <c r="D62" s="32"/>
      <c r="E62" s="27">
        <f t="array" ref="E62">INDEX(E$4:E$17,$A62)</f>
        <v>6</v>
      </c>
      <c r="F62" s="32"/>
      <c r="G62" s="27">
        <f t="shared" ref="G62:K62" si="59">INDEX(G$4:G$17,$A62)</f>
        <v>5</v>
      </c>
      <c r="H62" s="27">
        <f t="shared" si="59"/>
        <v>0</v>
      </c>
      <c r="I62" s="27">
        <f t="shared" si="59"/>
        <v>2</v>
      </c>
      <c r="J62" s="27">
        <f t="shared" si="59"/>
        <v>8</v>
      </c>
      <c r="K62" s="27">
        <f t="shared" si="59"/>
        <v>0</v>
      </c>
      <c r="L62" s="27" t="str">
        <f>L$32</f>
        <v>tours</v>
      </c>
      <c r="M62" s="27" t="str">
        <f t="shared" ref="M62:U62" si="60">CEILING(($J62-$K62)/(M$25-$I62-$K62), 1)</f>
        <v>#DIV/0!</v>
      </c>
      <c r="N62" s="27">
        <f t="shared" si="60"/>
        <v>8</v>
      </c>
      <c r="O62" s="27" t="str">
        <f t="shared" si="60"/>
        <v>#DIV/0!</v>
      </c>
      <c r="P62" s="27">
        <f t="shared" si="60"/>
        <v>4</v>
      </c>
      <c r="Q62" s="27">
        <f t="shared" si="60"/>
        <v>4</v>
      </c>
      <c r="R62" s="27" t="str">
        <f t="shared" si="60"/>
        <v>#DIV/0!</v>
      </c>
      <c r="S62" s="27">
        <f t="shared" si="60"/>
        <v>8</v>
      </c>
      <c r="T62" s="27">
        <f t="shared" si="60"/>
        <v>4</v>
      </c>
      <c r="U62" s="27">
        <f t="shared" si="60"/>
        <v>3</v>
      </c>
      <c r="V62" s="32"/>
      <c r="W62" s="32"/>
      <c r="X62" s="27">
        <f>$E62</f>
        <v>6</v>
      </c>
    </row>
    <row r="63">
      <c r="L63" s="10" t="str">
        <f>L$33</f>
        <v>PV perdus</v>
      </c>
      <c r="M63" s="10" t="str">
        <f t="shared" ref="M63:U63" si="61">M62*MAX($H62,$G62-M$26+$H62-M$28)</f>
        <v>#DIV/0!</v>
      </c>
      <c r="N63" s="10">
        <f t="shared" si="61"/>
        <v>40</v>
      </c>
      <c r="O63" s="10" t="str">
        <f t="shared" si="61"/>
        <v>#DIV/0!</v>
      </c>
      <c r="P63" s="10">
        <f t="shared" si="61"/>
        <v>20</v>
      </c>
      <c r="Q63" s="10">
        <f t="shared" si="61"/>
        <v>12</v>
      </c>
      <c r="R63" s="10" t="str">
        <f t="shared" si="61"/>
        <v>#DIV/0!</v>
      </c>
      <c r="S63" s="10">
        <f t="shared" si="61"/>
        <v>16</v>
      </c>
      <c r="T63" s="10">
        <f t="shared" si="61"/>
        <v>8</v>
      </c>
      <c r="U63" s="10">
        <f t="shared" si="61"/>
        <v>0</v>
      </c>
      <c r="V63" s="65"/>
    </row>
    <row r="64">
      <c r="A64" s="20"/>
      <c r="B64" s="20"/>
      <c r="D64" s="20"/>
      <c r="E64" s="20"/>
      <c r="F64" s="20"/>
      <c r="G64" s="20"/>
      <c r="H64" s="20"/>
      <c r="I64" s="20"/>
      <c r="J64" s="20"/>
      <c r="K64" s="20"/>
      <c r="L64" s="21" t="str">
        <f>L$34</f>
        <v>victoire</v>
      </c>
      <c r="M64" s="21">
        <f t="shared" ref="M64:U64" si="62">IF(ISNUMBER(M63),IF(M63&lt;M$27, 1, 0), 0)</f>
        <v>0</v>
      </c>
      <c r="N64" s="21">
        <f t="shared" si="62"/>
        <v>0</v>
      </c>
      <c r="O64" s="21">
        <f t="shared" si="62"/>
        <v>0</v>
      </c>
      <c r="P64" s="21">
        <f t="shared" si="62"/>
        <v>0</v>
      </c>
      <c r="Q64" s="21">
        <f t="shared" si="62"/>
        <v>0</v>
      </c>
      <c r="R64" s="21">
        <f t="shared" si="62"/>
        <v>0</v>
      </c>
      <c r="S64" s="21">
        <f t="shared" si="62"/>
        <v>0</v>
      </c>
      <c r="T64" s="21">
        <f t="shared" si="62"/>
        <v>1</v>
      </c>
      <c r="U64" s="21">
        <f t="shared" si="62"/>
        <v>1</v>
      </c>
      <c r="V64" s="66">
        <f>SUM(M64:U64)/COUNT(M64:U64)</f>
        <v>0.2222222222</v>
      </c>
      <c r="W64" s="21">
        <f>7-CEILING(V64*6,1)</f>
        <v>5</v>
      </c>
      <c r="X64" s="20"/>
    </row>
    <row r="65">
      <c r="A65" s="27">
        <f>1+(ROW(B65)-ROW(B$32))/$A$31</f>
        <v>12</v>
      </c>
      <c r="B65" s="27" t="str">
        <f t="shared" ref="B65:C65" si="63">INDEX(B$4:B$17,$A65)</f>
        <v>Golem</v>
      </c>
      <c r="C65" s="10">
        <f t="shared" si="63"/>
        <v>2</v>
      </c>
      <c r="D65" s="32"/>
      <c r="E65" s="27">
        <f t="array" ref="E65">INDEX(E$4:E$17,$A65)</f>
        <v>6</v>
      </c>
      <c r="F65" s="32"/>
      <c r="G65" s="27">
        <f t="shared" ref="G65:K65" si="64">INDEX(G$4:G$17,$A65)</f>
        <v>5</v>
      </c>
      <c r="H65" s="27">
        <f t="shared" si="64"/>
        <v>0</v>
      </c>
      <c r="I65" s="27">
        <f t="shared" si="64"/>
        <v>3</v>
      </c>
      <c r="J65" s="27">
        <f t="shared" si="64"/>
        <v>12</v>
      </c>
      <c r="K65" s="27">
        <f t="shared" si="64"/>
        <v>2</v>
      </c>
      <c r="L65" s="27" t="str">
        <f>L$32</f>
        <v>tours</v>
      </c>
      <c r="M65" s="27">
        <f t="shared" ref="M65:U65" si="65">CEILING(($J65-$K65)/(M$25-$I65-$K65), 1)</f>
        <v>-3</v>
      </c>
      <c r="N65" s="27">
        <f t="shared" si="65"/>
        <v>-5</v>
      </c>
      <c r="O65" s="27">
        <f t="shared" si="65"/>
        <v>-3</v>
      </c>
      <c r="P65" s="27">
        <f t="shared" si="65"/>
        <v>-10</v>
      </c>
      <c r="Q65" s="27">
        <f t="shared" si="65"/>
        <v>-10</v>
      </c>
      <c r="R65" s="27">
        <f t="shared" si="65"/>
        <v>-3</v>
      </c>
      <c r="S65" s="27">
        <f t="shared" si="65"/>
        <v>-5</v>
      </c>
      <c r="T65" s="27">
        <f t="shared" si="65"/>
        <v>-10</v>
      </c>
      <c r="U65" s="27" t="str">
        <f t="shared" si="65"/>
        <v>#DIV/0!</v>
      </c>
      <c r="V65" s="32"/>
      <c r="W65" s="32"/>
      <c r="X65" s="27">
        <f>$E65</f>
        <v>6</v>
      </c>
    </row>
    <row r="66">
      <c r="L66" s="10" t="str">
        <f>L$33</f>
        <v>PV perdus</v>
      </c>
      <c r="M66" s="10">
        <f t="shared" ref="M66:U66" si="66">M65*MAX($H65,$G65-M$26+$H65-M$28)</f>
        <v>-15</v>
      </c>
      <c r="N66" s="10">
        <f t="shared" si="66"/>
        <v>-25</v>
      </c>
      <c r="O66" s="10">
        <f t="shared" si="66"/>
        <v>-12</v>
      </c>
      <c r="P66" s="10">
        <f t="shared" si="66"/>
        <v>-50</v>
      </c>
      <c r="Q66" s="10">
        <f t="shared" si="66"/>
        <v>-30</v>
      </c>
      <c r="R66" s="10">
        <f t="shared" si="66"/>
        <v>-6</v>
      </c>
      <c r="S66" s="10">
        <f t="shared" si="66"/>
        <v>-10</v>
      </c>
      <c r="T66" s="10">
        <f t="shared" si="66"/>
        <v>-20</v>
      </c>
      <c r="U66" s="10" t="str">
        <f t="shared" si="66"/>
        <v>#DIV/0!</v>
      </c>
      <c r="V66" s="65"/>
    </row>
    <row r="67">
      <c r="A67" s="20"/>
      <c r="B67" s="20"/>
      <c r="D67" s="20"/>
      <c r="E67" s="20"/>
      <c r="F67" s="20"/>
      <c r="G67" s="20"/>
      <c r="H67" s="20"/>
      <c r="I67" s="20"/>
      <c r="J67" s="20"/>
      <c r="K67" s="20"/>
      <c r="L67" s="21" t="str">
        <f>L$34</f>
        <v>victoire</v>
      </c>
      <c r="M67" s="21">
        <f t="shared" ref="M67:U67" si="67">IF(ISNUMBER(M66),IF(M66&lt;M$27, 1, 0), 0)</f>
        <v>1</v>
      </c>
      <c r="N67" s="21">
        <f t="shared" si="67"/>
        <v>1</v>
      </c>
      <c r="O67" s="21">
        <f t="shared" si="67"/>
        <v>1</v>
      </c>
      <c r="P67" s="21">
        <f t="shared" si="67"/>
        <v>1</v>
      </c>
      <c r="Q67" s="21">
        <f t="shared" si="67"/>
        <v>1</v>
      </c>
      <c r="R67" s="21">
        <f t="shared" si="67"/>
        <v>1</v>
      </c>
      <c r="S67" s="21">
        <f t="shared" si="67"/>
        <v>1</v>
      </c>
      <c r="T67" s="21">
        <f t="shared" si="67"/>
        <v>1</v>
      </c>
      <c r="U67" s="21">
        <f t="shared" si="67"/>
        <v>0</v>
      </c>
      <c r="V67" s="66">
        <f>SUM(M67:U67)/COUNT(M67:U67)</f>
        <v>0.8888888889</v>
      </c>
      <c r="W67" s="21">
        <f>7-CEILING(V67*6,1)</f>
        <v>1</v>
      </c>
      <c r="X67" s="20"/>
    </row>
    <row r="68">
      <c r="A68" s="27">
        <f>1+(ROW(B68)-ROW(B$32))/$A$31</f>
        <v>13</v>
      </c>
      <c r="B68" s="27" t="str">
        <f t="shared" ref="B68:C68" si="68">INDEX(B$4:B$17,$A68)</f>
        <v>Nécromant</v>
      </c>
      <c r="C68" s="10">
        <f t="shared" si="68"/>
        <v>2</v>
      </c>
      <c r="D68" s="32"/>
      <c r="E68" s="27">
        <f t="array" ref="E68">INDEX(E$4:E$17,$A68)</f>
        <v>6</v>
      </c>
      <c r="F68" s="32"/>
      <c r="G68" s="27">
        <f t="shared" ref="G68:K68" si="69">INDEX(G$4:G$17,$A68)</f>
        <v>4</v>
      </c>
      <c r="H68" s="27">
        <f t="shared" si="69"/>
        <v>1</v>
      </c>
      <c r="I68" s="27">
        <f t="shared" si="69"/>
        <v>1</v>
      </c>
      <c r="J68" s="27">
        <f t="shared" si="69"/>
        <v>10</v>
      </c>
      <c r="K68" s="27">
        <f t="shared" si="69"/>
        <v>0</v>
      </c>
      <c r="L68" s="27" t="str">
        <f>L$32</f>
        <v>tours</v>
      </c>
      <c r="M68" s="27">
        <f t="shared" ref="M68:U68" si="70">CEILING(($J68-$K68)/(M$25-$I68-$K68), 1)</f>
        <v>10</v>
      </c>
      <c r="N68" s="27">
        <f t="shared" si="70"/>
        <v>5</v>
      </c>
      <c r="O68" s="27">
        <f t="shared" si="70"/>
        <v>10</v>
      </c>
      <c r="P68" s="27">
        <f t="shared" si="70"/>
        <v>4</v>
      </c>
      <c r="Q68" s="27">
        <f t="shared" si="70"/>
        <v>4</v>
      </c>
      <c r="R68" s="27">
        <f t="shared" si="70"/>
        <v>10</v>
      </c>
      <c r="S68" s="27">
        <f t="shared" si="70"/>
        <v>5</v>
      </c>
      <c r="T68" s="27">
        <f t="shared" si="70"/>
        <v>4</v>
      </c>
      <c r="U68" s="27">
        <f t="shared" si="70"/>
        <v>3</v>
      </c>
      <c r="V68" s="32"/>
      <c r="W68" s="32"/>
      <c r="X68" s="27">
        <f>$E68</f>
        <v>6</v>
      </c>
    </row>
    <row r="69">
      <c r="L69" s="10" t="str">
        <f>L$33</f>
        <v>PV perdus</v>
      </c>
      <c r="M69" s="10">
        <f t="shared" ref="M69:U69" si="71">M68*MAX($H68,$G68-M$26+$H68-M$28)</f>
        <v>50</v>
      </c>
      <c r="N69" s="10">
        <f t="shared" si="71"/>
        <v>25</v>
      </c>
      <c r="O69" s="10">
        <f t="shared" si="71"/>
        <v>40</v>
      </c>
      <c r="P69" s="10">
        <f t="shared" si="71"/>
        <v>20</v>
      </c>
      <c r="Q69" s="10">
        <f t="shared" si="71"/>
        <v>12</v>
      </c>
      <c r="R69" s="10">
        <f t="shared" si="71"/>
        <v>20</v>
      </c>
      <c r="S69" s="10">
        <f t="shared" si="71"/>
        <v>10</v>
      </c>
      <c r="T69" s="10">
        <f t="shared" si="71"/>
        <v>8</v>
      </c>
      <c r="U69" s="10">
        <f t="shared" si="71"/>
        <v>3</v>
      </c>
      <c r="V69" s="65"/>
    </row>
    <row r="70">
      <c r="A70" s="20"/>
      <c r="B70" s="20"/>
      <c r="D70" s="20"/>
      <c r="E70" s="20"/>
      <c r="F70" s="20"/>
      <c r="G70" s="20"/>
      <c r="H70" s="20"/>
      <c r="I70" s="20"/>
      <c r="J70" s="20"/>
      <c r="K70" s="20"/>
      <c r="L70" s="21" t="str">
        <f>L$34</f>
        <v>victoire</v>
      </c>
      <c r="M70" s="21">
        <f t="shared" ref="M70:U70" si="72">IF(ISNUMBER(M69),IF(M69&lt;M$27, 1, 0), 0)</f>
        <v>0</v>
      </c>
      <c r="N70" s="21">
        <f t="shared" si="72"/>
        <v>0</v>
      </c>
      <c r="O70" s="21">
        <f t="shared" si="72"/>
        <v>0</v>
      </c>
      <c r="P70" s="21">
        <f t="shared" si="72"/>
        <v>0</v>
      </c>
      <c r="Q70" s="21">
        <f t="shared" si="72"/>
        <v>0</v>
      </c>
      <c r="R70" s="21">
        <f t="shared" si="72"/>
        <v>0</v>
      </c>
      <c r="S70" s="21">
        <f t="shared" si="72"/>
        <v>1</v>
      </c>
      <c r="T70" s="21">
        <f t="shared" si="72"/>
        <v>1</v>
      </c>
      <c r="U70" s="21">
        <f t="shared" si="72"/>
        <v>1</v>
      </c>
      <c r="V70" s="66">
        <f>SUM(M70:U70)/COUNT(M70:U70)</f>
        <v>0.3333333333</v>
      </c>
      <c r="W70" s="21">
        <f>7-CEILING(V70*6,1)</f>
        <v>5</v>
      </c>
      <c r="X70" s="20"/>
    </row>
    <row r="71">
      <c r="A71" s="27">
        <f>1+(ROW(B71)-ROW(B$32))/$A$31</f>
        <v>14</v>
      </c>
      <c r="B71" s="27" t="str">
        <f t="shared" ref="B71:C71" si="73">INDEX(B$4:B$17,$A71)</f>
        <v>Vampire</v>
      </c>
      <c r="C71" s="10">
        <f t="shared" si="73"/>
        <v>2</v>
      </c>
      <c r="D71" s="32"/>
      <c r="E71" s="27">
        <f t="array" ref="E71">INDEX(E$4:E$17,$A71)</f>
        <v>6</v>
      </c>
      <c r="F71" s="32"/>
      <c r="G71" s="27">
        <f t="shared" ref="G71:K71" si="74">INDEX(G$4:G$17,$A71)</f>
        <v>4</v>
      </c>
      <c r="H71" s="27">
        <f t="shared" si="74"/>
        <v>2</v>
      </c>
      <c r="I71" s="27">
        <f t="shared" si="74"/>
        <v>2</v>
      </c>
      <c r="J71" s="27">
        <f t="shared" si="74"/>
        <v>8</v>
      </c>
      <c r="K71" s="27">
        <f t="shared" si="74"/>
        <v>1</v>
      </c>
      <c r="L71" s="27" t="str">
        <f>L$32</f>
        <v>tours</v>
      </c>
      <c r="M71" s="27">
        <f t="shared" ref="M71:U71" si="75">CEILING(($J71-$K71)/(M$25-$I71-$K71), 1)</f>
        <v>-7</v>
      </c>
      <c r="N71" s="27" t="str">
        <f t="shared" si="75"/>
        <v>#DIV/0!</v>
      </c>
      <c r="O71" s="27">
        <f t="shared" si="75"/>
        <v>-7</v>
      </c>
      <c r="P71" s="27">
        <f t="shared" si="75"/>
        <v>7</v>
      </c>
      <c r="Q71" s="27">
        <f t="shared" si="75"/>
        <v>7</v>
      </c>
      <c r="R71" s="27">
        <f t="shared" si="75"/>
        <v>-7</v>
      </c>
      <c r="S71" s="27" t="str">
        <f t="shared" si="75"/>
        <v>#DIV/0!</v>
      </c>
      <c r="T71" s="27">
        <f t="shared" si="75"/>
        <v>7</v>
      </c>
      <c r="U71" s="27">
        <f t="shared" si="75"/>
        <v>4</v>
      </c>
      <c r="V71" s="32"/>
      <c r="W71" s="32"/>
      <c r="X71" s="27">
        <f>$E71</f>
        <v>6</v>
      </c>
    </row>
    <row r="72">
      <c r="L72" s="10" t="str">
        <f>L$33</f>
        <v>PV perdus</v>
      </c>
      <c r="M72" s="10">
        <f t="shared" ref="M72:U72" si="76">M71*MAX($H71,$G71-M$26+$H71-M$28)</f>
        <v>-42</v>
      </c>
      <c r="N72" s="10" t="str">
        <f t="shared" si="76"/>
        <v>#DIV/0!</v>
      </c>
      <c r="O72" s="10">
        <f t="shared" si="76"/>
        <v>-35</v>
      </c>
      <c r="P72" s="10">
        <f t="shared" si="76"/>
        <v>42</v>
      </c>
      <c r="Q72" s="10">
        <f t="shared" si="76"/>
        <v>28</v>
      </c>
      <c r="R72" s="10">
        <f t="shared" si="76"/>
        <v>-21</v>
      </c>
      <c r="S72" s="10" t="str">
        <f t="shared" si="76"/>
        <v>#DIV/0!</v>
      </c>
      <c r="T72" s="10">
        <f t="shared" si="76"/>
        <v>21</v>
      </c>
      <c r="U72" s="10">
        <f t="shared" si="76"/>
        <v>8</v>
      </c>
      <c r="V72" s="65"/>
    </row>
    <row r="73">
      <c r="L73" s="10" t="str">
        <f>L$34</f>
        <v>victoire</v>
      </c>
      <c r="M73" s="10">
        <f t="shared" ref="M73:U73" si="77">IF(ISNUMBER(M72),IF(M72&lt;M$27, 1, 0), 0)</f>
        <v>1</v>
      </c>
      <c r="N73" s="10">
        <f t="shared" si="77"/>
        <v>0</v>
      </c>
      <c r="O73" s="10">
        <f t="shared" si="77"/>
        <v>1</v>
      </c>
      <c r="P73" s="10">
        <f t="shared" si="77"/>
        <v>0</v>
      </c>
      <c r="Q73" s="10">
        <f t="shared" si="77"/>
        <v>0</v>
      </c>
      <c r="R73" s="10">
        <f t="shared" si="77"/>
        <v>1</v>
      </c>
      <c r="S73" s="10">
        <f t="shared" si="77"/>
        <v>0</v>
      </c>
      <c r="T73" s="10">
        <f t="shared" si="77"/>
        <v>0</v>
      </c>
      <c r="U73" s="10">
        <f t="shared" si="77"/>
        <v>1</v>
      </c>
      <c r="V73" s="69">
        <f>SUM(M73:U73)/COUNT(M73:U73)</f>
        <v>0.4444444444</v>
      </c>
      <c r="W73" s="10">
        <f>7-CEILING(V73*6,1)</f>
        <v>4</v>
      </c>
    </row>
    <row r="75">
      <c r="C75" s="10">
        <f>SUM(C32:C71)</f>
        <v>36</v>
      </c>
      <c r="L75" s="10">
        <f>(C32*M32+C35*M35+C38*N38+C41*N41+C44*N44+C47*N47+C50*P50+C53*P53+C56*S56+C59*S59+C62*U62+C65*0+C68*U68+C71*U71)/C75</f>
        <v>2.888888889</v>
      </c>
    </row>
  </sheetData>
  <mergeCells count="10">
    <mergeCell ref="M17:S17"/>
    <mergeCell ref="M16:Q16"/>
    <mergeCell ref="W31:X31"/>
    <mergeCell ref="M6:S6"/>
    <mergeCell ref="M2:S2"/>
    <mergeCell ref="M7:S7"/>
    <mergeCell ref="M10:S10"/>
    <mergeCell ref="M9:S9"/>
    <mergeCell ref="M12:Q12"/>
    <mergeCell ref="M13:S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2.75"/>
  <cols>
    <col customWidth="1" min="1" max="1" width="3.14"/>
    <col customWidth="1" min="2" max="2" width="18.0"/>
    <col customWidth="1" min="3" max="3" width="3.14"/>
    <col customWidth="1" min="4" max="4" width="7.86"/>
    <col customWidth="1" min="5" max="5" width="3.43"/>
    <col customWidth="1" min="6" max="6" width="10.29"/>
    <col customWidth="1" min="7" max="7" width="3.43"/>
    <col customWidth="1" min="8" max="8" width="4.14"/>
    <col customWidth="1" min="9" max="9" width="3.86"/>
    <col customWidth="1" min="10" max="10" width="3.43"/>
    <col customWidth="1" min="11" max="11" width="4.0"/>
    <col customWidth="1" min="12" max="12" width="9.86"/>
    <col customWidth="1" min="13" max="13" width="12.29"/>
    <col customWidth="1" min="14" max="14" width="9.14"/>
    <col customWidth="1" min="15" max="15" width="8.0"/>
    <col customWidth="1" min="16" max="16" width="7.71"/>
    <col customWidth="1" min="17" max="19" width="8.14"/>
    <col customWidth="1" min="20" max="20" width="7.86"/>
    <col customWidth="1" min="21" max="21" width="8.14"/>
    <col customWidth="1" min="22" max="22" width="7.71"/>
    <col customWidth="1" min="23" max="23" width="5.14"/>
    <col customWidth="1" min="24" max="24" width="7.43"/>
  </cols>
  <sheetData>
    <row r="1">
      <c r="B1" s="7" t="s">
        <v>57</v>
      </c>
      <c r="C1" s="7" t="s">
        <v>58</v>
      </c>
      <c r="D1" s="7" t="s">
        <v>220</v>
      </c>
      <c r="E1" s="7" t="s">
        <v>59</v>
      </c>
      <c r="F1" s="7" t="s">
        <v>221</v>
      </c>
      <c r="G1" s="7" t="s">
        <v>61</v>
      </c>
      <c r="H1" s="7" t="s">
        <v>222</v>
      </c>
      <c r="I1" s="7" t="s">
        <v>63</v>
      </c>
      <c r="J1" s="7" t="s">
        <v>64</v>
      </c>
      <c r="K1" s="7" t="s">
        <v>65</v>
      </c>
      <c r="L1" s="7" t="s">
        <v>66</v>
      </c>
      <c r="M1" s="7" t="s">
        <v>223</v>
      </c>
      <c r="N1" s="14"/>
      <c r="O1" s="14"/>
      <c r="P1" s="14"/>
      <c r="Q1" s="14"/>
      <c r="R1" s="14"/>
      <c r="S1" s="14"/>
      <c r="T1" s="14"/>
      <c r="U1" s="14"/>
      <c r="V1" s="14"/>
      <c r="W1" s="14"/>
      <c r="X1" s="14"/>
    </row>
    <row r="2">
      <c r="B2" s="9" t="s">
        <v>224</v>
      </c>
      <c r="C2" s="9" t="s">
        <v>132</v>
      </c>
      <c r="E2" s="9" t="s">
        <v>132</v>
      </c>
      <c r="F2" s="9" t="s">
        <v>132</v>
      </c>
      <c r="G2" s="9">
        <v>3.0</v>
      </c>
      <c r="I2" s="9">
        <v>2.0</v>
      </c>
      <c r="J2" s="9">
        <v>10.0</v>
      </c>
      <c r="K2" s="9">
        <v>1.0</v>
      </c>
    </row>
    <row r="3" ht="7.5" customHeight="1"/>
    <row r="4">
      <c r="B4" s="9" t="s">
        <v>73</v>
      </c>
      <c r="C4" s="9">
        <v>3.0</v>
      </c>
      <c r="D4" s="57" t="s">
        <v>74</v>
      </c>
      <c r="E4" s="9">
        <v>1.0</v>
      </c>
      <c r="F4" s="9">
        <v>2.0</v>
      </c>
      <c r="G4" s="9">
        <v>3.0</v>
      </c>
      <c r="H4" s="9">
        <v>0.0</v>
      </c>
      <c r="I4" s="9">
        <v>2.0</v>
      </c>
      <c r="J4" s="9">
        <v>4.0</v>
      </c>
      <c r="K4" s="9">
        <v>0.0</v>
      </c>
      <c r="L4" s="9" t="s">
        <v>132</v>
      </c>
    </row>
    <row r="5">
      <c r="B5" s="9" t="s">
        <v>225</v>
      </c>
      <c r="C5" s="9">
        <v>3.0</v>
      </c>
      <c r="D5" s="57" t="s">
        <v>74</v>
      </c>
      <c r="E5" s="9">
        <v>1.0</v>
      </c>
      <c r="F5" s="9">
        <v>4.0</v>
      </c>
      <c r="G5" s="9">
        <v>4.0</v>
      </c>
      <c r="H5" s="9">
        <v>0.0</v>
      </c>
      <c r="I5" s="9">
        <v>1.0</v>
      </c>
      <c r="J5" s="9">
        <v>4.0</v>
      </c>
      <c r="K5" s="9">
        <v>0.0</v>
      </c>
    </row>
    <row r="6">
      <c r="B6" s="9" t="s">
        <v>82</v>
      </c>
      <c r="C6" s="9">
        <v>3.0</v>
      </c>
      <c r="D6" s="57" t="s">
        <v>83</v>
      </c>
      <c r="E6" s="9">
        <v>1.0</v>
      </c>
      <c r="F6" s="9">
        <v>1.0</v>
      </c>
      <c r="G6" s="9">
        <v>3.0</v>
      </c>
      <c r="H6" s="9">
        <v>0.0</v>
      </c>
      <c r="I6" s="9">
        <v>1.0</v>
      </c>
      <c r="J6" s="9">
        <v>3.0</v>
      </c>
      <c r="K6" s="9">
        <v>1.0</v>
      </c>
      <c r="L6" s="9" t="s">
        <v>132</v>
      </c>
      <c r="M6" s="9" t="s">
        <v>226</v>
      </c>
    </row>
    <row r="7">
      <c r="B7" s="9" t="s">
        <v>88</v>
      </c>
      <c r="C7" s="9">
        <v>3.0</v>
      </c>
      <c r="D7" s="57" t="s">
        <v>83</v>
      </c>
      <c r="E7" s="9">
        <v>1.0</v>
      </c>
      <c r="F7" s="9">
        <v>2.0</v>
      </c>
      <c r="G7" s="9">
        <v>2.0</v>
      </c>
      <c r="H7" s="9">
        <v>0.0</v>
      </c>
      <c r="I7" s="9">
        <v>2.0</v>
      </c>
      <c r="J7" s="9">
        <v>2.0</v>
      </c>
      <c r="K7" s="9">
        <v>1.0</v>
      </c>
      <c r="L7" s="9" t="s">
        <v>132</v>
      </c>
      <c r="M7" s="9" t="s">
        <v>226</v>
      </c>
    </row>
    <row r="8">
      <c r="B8" s="9" t="s">
        <v>13</v>
      </c>
      <c r="C8" s="9">
        <v>4.0</v>
      </c>
      <c r="D8" s="57" t="s">
        <v>92</v>
      </c>
      <c r="E8" s="9">
        <v>2.0</v>
      </c>
      <c r="F8" s="9">
        <v>3.0</v>
      </c>
      <c r="G8" s="9">
        <v>4.0</v>
      </c>
      <c r="H8" s="9">
        <v>0.0</v>
      </c>
      <c r="I8" s="9">
        <v>3.0</v>
      </c>
      <c r="J8" s="9">
        <v>6.0</v>
      </c>
      <c r="K8" s="9">
        <v>0.0</v>
      </c>
    </row>
    <row r="9">
      <c r="B9" s="9" t="s">
        <v>14</v>
      </c>
      <c r="C9" s="9">
        <v>4.0</v>
      </c>
      <c r="D9" s="57" t="s">
        <v>92</v>
      </c>
      <c r="E9" s="9">
        <v>2.0</v>
      </c>
      <c r="F9" s="9">
        <v>4.0</v>
      </c>
      <c r="G9" s="9">
        <v>4.0</v>
      </c>
      <c r="H9" s="9">
        <v>0.0</v>
      </c>
      <c r="I9" s="9">
        <v>2.0</v>
      </c>
      <c r="J9" s="9">
        <v>8.0</v>
      </c>
      <c r="K9" s="9">
        <v>0.0</v>
      </c>
      <c r="L9" s="9" t="s">
        <v>132</v>
      </c>
      <c r="M9" s="9" t="s">
        <v>226</v>
      </c>
    </row>
    <row r="10">
      <c r="B10" s="9" t="s">
        <v>99</v>
      </c>
      <c r="C10" s="9">
        <v>2.0</v>
      </c>
      <c r="D10" s="57" t="s">
        <v>100</v>
      </c>
      <c r="E10" s="9">
        <v>3.0</v>
      </c>
      <c r="F10" s="9">
        <v>8.0</v>
      </c>
      <c r="G10" s="9">
        <v>5.0</v>
      </c>
      <c r="H10" s="9">
        <v>0.0</v>
      </c>
      <c r="I10" s="9">
        <v>3.0</v>
      </c>
      <c r="J10" s="9">
        <v>8.0</v>
      </c>
      <c r="K10" s="10">
        <f>1</f>
        <v>1</v>
      </c>
      <c r="M10" s="9" t="s">
        <v>226</v>
      </c>
    </row>
    <row r="11">
      <c r="B11" s="9" t="s">
        <v>16</v>
      </c>
      <c r="C11" s="9">
        <v>2.0</v>
      </c>
      <c r="D11" s="57" t="s">
        <v>100</v>
      </c>
      <c r="E11" s="9">
        <v>3.0</v>
      </c>
      <c r="F11" s="9">
        <v>7.0</v>
      </c>
      <c r="G11" s="9">
        <v>6.0</v>
      </c>
      <c r="H11" s="9">
        <v>0.0</v>
      </c>
      <c r="I11" s="9">
        <v>3.0</v>
      </c>
      <c r="J11" s="9">
        <v>10.0</v>
      </c>
      <c r="K11" s="9">
        <v>0.0</v>
      </c>
    </row>
    <row r="12">
      <c r="B12" s="9" t="s">
        <v>20</v>
      </c>
      <c r="C12" s="9">
        <v>2.0</v>
      </c>
      <c r="D12" s="57" t="s">
        <v>107</v>
      </c>
      <c r="E12" s="9">
        <v>4.0</v>
      </c>
      <c r="F12" s="9">
        <v>17.0</v>
      </c>
      <c r="G12" s="9">
        <v>3.0</v>
      </c>
      <c r="H12" s="9">
        <v>0.0</v>
      </c>
      <c r="I12" s="9">
        <v>2.0</v>
      </c>
      <c r="J12" s="9">
        <v>6.0</v>
      </c>
      <c r="K12" s="9">
        <v>0.0</v>
      </c>
    </row>
    <row r="13">
      <c r="B13" s="9" t="s">
        <v>19</v>
      </c>
      <c r="C13" s="9">
        <v>2.0</v>
      </c>
      <c r="D13" s="57" t="s">
        <v>107</v>
      </c>
      <c r="E13" s="9">
        <v>4.0</v>
      </c>
      <c r="F13" s="9">
        <v>14.0</v>
      </c>
      <c r="H13" s="9">
        <v>0.0</v>
      </c>
      <c r="K13" s="9">
        <v>0.0</v>
      </c>
      <c r="L13" s="9" t="s">
        <v>132</v>
      </c>
      <c r="M13" s="9" t="s">
        <v>226</v>
      </c>
    </row>
    <row r="14">
      <c r="B14" s="9" t="s">
        <v>24</v>
      </c>
      <c r="C14" s="9">
        <v>2.0</v>
      </c>
      <c r="D14" s="9">
        <v>6.0</v>
      </c>
      <c r="E14" s="9">
        <v>6.0</v>
      </c>
      <c r="F14" s="9">
        <v>20.0</v>
      </c>
      <c r="G14" s="9">
        <v>8.0</v>
      </c>
      <c r="H14" s="9">
        <v>0.0</v>
      </c>
      <c r="I14" s="9">
        <v>3.0</v>
      </c>
      <c r="J14" s="9">
        <v>8.0</v>
      </c>
      <c r="K14" s="9">
        <v>0.0</v>
      </c>
    </row>
    <row r="15">
      <c r="B15" s="9" t="s">
        <v>25</v>
      </c>
      <c r="C15" s="9">
        <v>2.0</v>
      </c>
      <c r="D15" s="9">
        <v>6.0</v>
      </c>
      <c r="E15" s="9">
        <v>6.0</v>
      </c>
      <c r="F15" s="59" t="s">
        <v>231</v>
      </c>
      <c r="G15" s="9">
        <v>5.0</v>
      </c>
      <c r="H15" s="9">
        <v>0.0</v>
      </c>
      <c r="I15" s="9">
        <v>4.0</v>
      </c>
      <c r="J15" s="9">
        <v>12.0</v>
      </c>
      <c r="K15" s="9">
        <v>2.0</v>
      </c>
    </row>
    <row r="16">
      <c r="B16" s="9" t="s">
        <v>123</v>
      </c>
      <c r="C16" s="9">
        <v>2.0</v>
      </c>
      <c r="D16" s="9">
        <v>6.0</v>
      </c>
      <c r="E16" s="9">
        <v>6.0</v>
      </c>
      <c r="F16" s="9">
        <v>39.0</v>
      </c>
      <c r="G16" s="9">
        <v>5.0</v>
      </c>
      <c r="H16" s="9">
        <v>1.0</v>
      </c>
      <c r="I16" s="9">
        <v>2.0</v>
      </c>
      <c r="J16" s="9">
        <v>6.0</v>
      </c>
      <c r="K16" s="9">
        <v>0.0</v>
      </c>
      <c r="M16" s="9" t="s">
        <v>232</v>
      </c>
    </row>
    <row r="17">
      <c r="B17" s="9" t="s">
        <v>127</v>
      </c>
      <c r="C17" s="9">
        <v>2.0</v>
      </c>
      <c r="D17" s="9">
        <v>6.0</v>
      </c>
      <c r="E17" s="9">
        <v>6.0</v>
      </c>
      <c r="F17" s="9">
        <v>29.0</v>
      </c>
      <c r="G17" s="9">
        <v>5.0</v>
      </c>
      <c r="H17" s="9">
        <v>1.0</v>
      </c>
      <c r="I17" s="9">
        <v>3.0</v>
      </c>
      <c r="J17" s="9">
        <v>8.0</v>
      </c>
      <c r="K17" s="9">
        <v>1.0</v>
      </c>
      <c r="M17" s="9" t="s">
        <v>227</v>
      </c>
    </row>
    <row r="19">
      <c r="C19" s="10">
        <f>SUM(C4:C17)</f>
        <v>36</v>
      </c>
    </row>
    <row r="22">
      <c r="L22" s="9" t="s">
        <v>50</v>
      </c>
      <c r="N22" s="9">
        <v>1.0</v>
      </c>
      <c r="O22" s="9">
        <v>0.0</v>
      </c>
      <c r="P22" s="9">
        <v>2.0</v>
      </c>
      <c r="Q22" s="9">
        <v>2.0</v>
      </c>
      <c r="R22" s="9">
        <v>0.0</v>
      </c>
      <c r="S22" s="9">
        <v>1.0</v>
      </c>
      <c r="T22" s="9">
        <v>2.0</v>
      </c>
      <c r="U22" s="9">
        <v>3.0</v>
      </c>
    </row>
    <row r="23">
      <c r="L23" s="9" t="s">
        <v>51</v>
      </c>
      <c r="N23" s="9">
        <v>0.0</v>
      </c>
      <c r="O23" s="9">
        <v>1.0</v>
      </c>
      <c r="P23" s="9">
        <v>0.0</v>
      </c>
      <c r="Q23" s="9">
        <v>1.0</v>
      </c>
      <c r="R23" s="9">
        <v>2.0</v>
      </c>
      <c r="S23" s="9">
        <v>2.0</v>
      </c>
      <c r="T23" s="9">
        <v>2.0</v>
      </c>
      <c r="U23" s="9">
        <v>3.0</v>
      </c>
    </row>
    <row r="24">
      <c r="L24" s="9" t="s">
        <v>52</v>
      </c>
      <c r="N24" s="9">
        <v>1.0</v>
      </c>
      <c r="O24" s="10">
        <f>N24</f>
        <v>1</v>
      </c>
      <c r="P24" s="9">
        <v>2.0</v>
      </c>
      <c r="Q24" s="10">
        <f t="shared" ref="Q24:S24" si="1">P24</f>
        <v>2</v>
      </c>
      <c r="R24" s="10">
        <f t="shared" si="1"/>
        <v>2</v>
      </c>
      <c r="S24" s="10">
        <f t="shared" si="1"/>
        <v>2</v>
      </c>
      <c r="T24" s="9">
        <v>3.0</v>
      </c>
      <c r="U24" s="9">
        <v>4.0</v>
      </c>
    </row>
    <row r="25">
      <c r="B25" s="10" t="str">
        <f>$B$2</f>
        <v>*Aventurier*</v>
      </c>
      <c r="L25" s="10" t="str">
        <f>$G$1</f>
        <v>att</v>
      </c>
      <c r="M25" s="10">
        <f>$G$2</f>
        <v>3</v>
      </c>
      <c r="N25" s="10">
        <f t="shared" ref="N25:U25" si="2">$M25+N$22</f>
        <v>4</v>
      </c>
      <c r="O25" s="10">
        <f t="shared" si="2"/>
        <v>3</v>
      </c>
      <c r="P25" s="10">
        <f t="shared" si="2"/>
        <v>5</v>
      </c>
      <c r="Q25" s="10">
        <f t="shared" si="2"/>
        <v>5</v>
      </c>
      <c r="R25" s="10">
        <f t="shared" si="2"/>
        <v>3</v>
      </c>
      <c r="S25" s="10">
        <f t="shared" si="2"/>
        <v>4</v>
      </c>
      <c r="T25" s="10">
        <f t="shared" si="2"/>
        <v>5</v>
      </c>
      <c r="U25" s="10">
        <f t="shared" si="2"/>
        <v>6</v>
      </c>
    </row>
    <row r="26">
      <c r="L26" s="10" t="str">
        <f>$I$1</f>
        <v>def</v>
      </c>
      <c r="M26" s="10">
        <f>I$2</f>
        <v>2</v>
      </c>
      <c r="N26" s="10">
        <f t="shared" ref="N26:U26" si="3">$M26+N$23</f>
        <v>2</v>
      </c>
      <c r="O26" s="10">
        <f t="shared" si="3"/>
        <v>3</v>
      </c>
      <c r="P26" s="10">
        <f t="shared" si="3"/>
        <v>2</v>
      </c>
      <c r="Q26" s="10">
        <f t="shared" si="3"/>
        <v>3</v>
      </c>
      <c r="R26" s="10">
        <f t="shared" si="3"/>
        <v>4</v>
      </c>
      <c r="S26" s="10">
        <f t="shared" si="3"/>
        <v>4</v>
      </c>
      <c r="T26" s="10">
        <f t="shared" si="3"/>
        <v>4</v>
      </c>
      <c r="U26" s="10">
        <f t="shared" si="3"/>
        <v>5</v>
      </c>
    </row>
    <row r="27">
      <c r="L27" s="10" t="str">
        <f>$J$1</f>
        <v>PV</v>
      </c>
      <c r="M27" s="10">
        <f>$J$2</f>
        <v>10</v>
      </c>
      <c r="N27" s="10">
        <f t="shared" ref="N27:U27" si="4">$M27+N$24</f>
        <v>11</v>
      </c>
      <c r="O27" s="10">
        <f t="shared" si="4"/>
        <v>11</v>
      </c>
      <c r="P27" s="10">
        <f t="shared" si="4"/>
        <v>12</v>
      </c>
      <c r="Q27" s="10">
        <f t="shared" si="4"/>
        <v>12</v>
      </c>
      <c r="R27" s="10">
        <f t="shared" si="4"/>
        <v>12</v>
      </c>
      <c r="S27" s="10">
        <f t="shared" si="4"/>
        <v>12</v>
      </c>
      <c r="T27" s="10">
        <f t="shared" si="4"/>
        <v>13</v>
      </c>
      <c r="U27" s="10">
        <f t="shared" si="4"/>
        <v>14</v>
      </c>
    </row>
    <row r="28">
      <c r="L28" s="10" t="str">
        <f>$K$1</f>
        <v>con</v>
      </c>
      <c r="M28" s="10">
        <f>$K$2</f>
        <v>1</v>
      </c>
      <c r="N28" s="10">
        <f t="shared" ref="N28:P28" si="5">M28</f>
        <v>1</v>
      </c>
      <c r="O28" s="10">
        <f t="shared" si="5"/>
        <v>1</v>
      </c>
      <c r="P28" s="10">
        <f t="shared" si="5"/>
        <v>1</v>
      </c>
      <c r="Q28" s="10">
        <f>P28+1</f>
        <v>2</v>
      </c>
      <c r="R28" s="10">
        <f t="shared" ref="R28:T28" si="6">Q28</f>
        <v>2</v>
      </c>
      <c r="S28" s="10">
        <f t="shared" si="6"/>
        <v>2</v>
      </c>
      <c r="T28" s="10">
        <f t="shared" si="6"/>
        <v>2</v>
      </c>
      <c r="U28" s="10">
        <f>T28+1</f>
        <v>3</v>
      </c>
    </row>
    <row r="30">
      <c r="L30" s="9" t="s">
        <v>238</v>
      </c>
      <c r="M30" s="10">
        <f>CEILING(SUM(M34,M37,M40,M43,M46,M49,M52,M55,M58,M61,M64,M67,M70,M73)/$A$71*9,1)-3</f>
        <v>3</v>
      </c>
      <c r="N30" s="10">
        <f t="shared" ref="N30:U30" si="7">CEILING(SUM(N34,N37,N40,N43,N46,N49,N52,N55,N58,N61,N64,N67,N70,N73)/$A$71*6,1)</f>
        <v>5</v>
      </c>
      <c r="O30" s="10">
        <f t="shared" si="7"/>
        <v>4</v>
      </c>
      <c r="P30" s="10">
        <f t="shared" si="7"/>
        <v>5</v>
      </c>
      <c r="Q30" s="10">
        <f t="shared" si="7"/>
        <v>6</v>
      </c>
      <c r="R30" s="10">
        <f t="shared" si="7"/>
        <v>5</v>
      </c>
      <c r="S30" s="10">
        <f t="shared" si="7"/>
        <v>5</v>
      </c>
      <c r="T30" s="10">
        <f t="shared" si="7"/>
        <v>6</v>
      </c>
      <c r="U30" s="10">
        <f t="shared" si="7"/>
        <v>6</v>
      </c>
    </row>
    <row r="31">
      <c r="A31" s="9">
        <v>3.0</v>
      </c>
      <c r="W31" s="19" t="s">
        <v>238</v>
      </c>
      <c r="X31" s="20"/>
    </row>
    <row r="32">
      <c r="A32" s="10">
        <f>1+(ROW(B32)-ROW(B$32))/$A$31</f>
        <v>1</v>
      </c>
      <c r="B32" s="10" t="str">
        <f t="array" ref="B32">INDEX(B$4:B$17,$A32)</f>
        <v>Araignée géante</v>
      </c>
      <c r="E32" s="10">
        <f t="array" ref="E32">INDEX(E$4:E$17,$A32)</f>
        <v>1</v>
      </c>
      <c r="G32" s="10">
        <f t="shared" ref="G32:K32" si="8">INDEX(G$4:G$17,$A32)</f>
        <v>3</v>
      </c>
      <c r="H32" s="10">
        <f t="shared" si="8"/>
        <v>0</v>
      </c>
      <c r="I32" s="10">
        <f t="shared" si="8"/>
        <v>2</v>
      </c>
      <c r="J32" s="10">
        <f t="shared" si="8"/>
        <v>4</v>
      </c>
      <c r="K32" s="10">
        <f t="shared" si="8"/>
        <v>0</v>
      </c>
      <c r="L32" s="9" t="s">
        <v>228</v>
      </c>
      <c r="M32" s="10">
        <f t="shared" ref="M32:U32" si="9">CEILING(($J32-$K32)/(M$25-$I32-$K32), 1)</f>
        <v>4</v>
      </c>
      <c r="N32" s="10">
        <f t="shared" si="9"/>
        <v>2</v>
      </c>
      <c r="O32" s="10">
        <f t="shared" si="9"/>
        <v>4</v>
      </c>
      <c r="P32" s="10">
        <f t="shared" si="9"/>
        <v>2</v>
      </c>
      <c r="Q32" s="10">
        <f t="shared" si="9"/>
        <v>2</v>
      </c>
      <c r="R32" s="10">
        <f t="shared" si="9"/>
        <v>4</v>
      </c>
      <c r="S32" s="10">
        <f t="shared" si="9"/>
        <v>2</v>
      </c>
      <c r="T32" s="10">
        <f t="shared" si="9"/>
        <v>2</v>
      </c>
      <c r="U32" s="10">
        <f t="shared" si="9"/>
        <v>1</v>
      </c>
      <c r="W32" s="32"/>
      <c r="X32" s="27">
        <f>$E32</f>
        <v>1</v>
      </c>
    </row>
    <row r="33">
      <c r="L33" s="9" t="s">
        <v>236</v>
      </c>
      <c r="M33" s="10">
        <f t="shared" ref="M33:U33" si="10">M32*MAX($H32,$G32-M$26+$H32-M$28)</f>
        <v>0</v>
      </c>
      <c r="N33" s="10">
        <f t="shared" si="10"/>
        <v>0</v>
      </c>
      <c r="O33" s="10">
        <f t="shared" si="10"/>
        <v>0</v>
      </c>
      <c r="P33" s="10">
        <f t="shared" si="10"/>
        <v>0</v>
      </c>
      <c r="Q33" s="10">
        <f t="shared" si="10"/>
        <v>0</v>
      </c>
      <c r="R33" s="10">
        <f t="shared" si="10"/>
        <v>0</v>
      </c>
      <c r="S33" s="10">
        <f t="shared" si="10"/>
        <v>0</v>
      </c>
      <c r="T33" s="10">
        <f t="shared" si="10"/>
        <v>0</v>
      </c>
      <c r="U33" s="10">
        <f t="shared" si="10"/>
        <v>0</v>
      </c>
      <c r="V33" s="65"/>
    </row>
    <row r="34">
      <c r="A34" s="20"/>
      <c r="B34" s="20"/>
      <c r="C34" s="20"/>
      <c r="D34" s="20"/>
      <c r="E34" s="20"/>
      <c r="F34" s="20"/>
      <c r="G34" s="20"/>
      <c r="H34" s="20"/>
      <c r="I34" s="20"/>
      <c r="J34" s="20"/>
      <c r="K34" s="20"/>
      <c r="L34" s="19" t="s">
        <v>237</v>
      </c>
      <c r="M34" s="21">
        <f t="shared" ref="M34:U34" si="11">IF(ISNUMBER(M33),IF(M33&lt;M$27, 1, 0), 0)</f>
        <v>1</v>
      </c>
      <c r="N34" s="21">
        <f t="shared" si="11"/>
        <v>1</v>
      </c>
      <c r="O34" s="21">
        <f t="shared" si="11"/>
        <v>1</v>
      </c>
      <c r="P34" s="21">
        <f t="shared" si="11"/>
        <v>1</v>
      </c>
      <c r="Q34" s="21">
        <f t="shared" si="11"/>
        <v>1</v>
      </c>
      <c r="R34" s="21">
        <f t="shared" si="11"/>
        <v>1</v>
      </c>
      <c r="S34" s="21">
        <f t="shared" si="11"/>
        <v>1</v>
      </c>
      <c r="T34" s="21">
        <f t="shared" si="11"/>
        <v>1</v>
      </c>
      <c r="U34" s="21">
        <f t="shared" si="11"/>
        <v>1</v>
      </c>
      <c r="V34" s="66">
        <f>SUM(M34:U34)/COUNT(M34:U34)</f>
        <v>1</v>
      </c>
      <c r="W34" s="21">
        <f>7-CEILING(V34*6,1)</f>
        <v>1</v>
      </c>
      <c r="X34" s="20"/>
    </row>
    <row r="35">
      <c r="A35" s="27">
        <f>1+(ROW(B35)-ROW(B$32))/$A$31</f>
        <v>2</v>
      </c>
      <c r="B35" s="27" t="str">
        <f t="array" ref="B35">INDEX(B$4:B$17,$A35)</f>
        <v>Goblin</v>
      </c>
      <c r="C35" s="32"/>
      <c r="D35" s="32"/>
      <c r="E35" s="27">
        <f t="array" ref="E35">INDEX(E$4:E$17,$A35)</f>
        <v>1</v>
      </c>
      <c r="F35" s="32"/>
      <c r="G35" s="27">
        <f t="shared" ref="G35:K35" si="12">INDEX(G$4:G$17,$A35)</f>
        <v>4</v>
      </c>
      <c r="H35" s="27">
        <f t="shared" si="12"/>
        <v>0</v>
      </c>
      <c r="I35" s="27">
        <f t="shared" si="12"/>
        <v>1</v>
      </c>
      <c r="J35" s="27">
        <f t="shared" si="12"/>
        <v>4</v>
      </c>
      <c r="K35" s="27">
        <f t="shared" si="12"/>
        <v>0</v>
      </c>
      <c r="L35" s="27" t="str">
        <f>L$32</f>
        <v>tours</v>
      </c>
      <c r="M35" s="27">
        <f t="shared" ref="M35:U35" si="13">CEILING(($J35-$K35)/(M$25-$I35-$K35), 1)</f>
        <v>2</v>
      </c>
      <c r="N35" s="27">
        <f t="shared" si="13"/>
        <v>2</v>
      </c>
      <c r="O35" s="27">
        <f t="shared" si="13"/>
        <v>2</v>
      </c>
      <c r="P35" s="27">
        <f t="shared" si="13"/>
        <v>1</v>
      </c>
      <c r="Q35" s="27">
        <f t="shared" si="13"/>
        <v>1</v>
      </c>
      <c r="R35" s="27">
        <f t="shared" si="13"/>
        <v>2</v>
      </c>
      <c r="S35" s="27">
        <f t="shared" si="13"/>
        <v>2</v>
      </c>
      <c r="T35" s="27">
        <f t="shared" si="13"/>
        <v>1</v>
      </c>
      <c r="U35" s="27">
        <f t="shared" si="13"/>
        <v>1</v>
      </c>
      <c r="V35" s="32"/>
      <c r="W35" s="32"/>
      <c r="X35" s="27">
        <f>$E35</f>
        <v>1</v>
      </c>
    </row>
    <row r="36">
      <c r="L36" s="10" t="str">
        <f>L$33</f>
        <v>PV perdus</v>
      </c>
      <c r="M36" s="10">
        <f t="shared" ref="M36:U36" si="14">M35*MAX($H35,$G35-M$26+$H35-M$28)</f>
        <v>2</v>
      </c>
      <c r="N36" s="10">
        <f t="shared" si="14"/>
        <v>2</v>
      </c>
      <c r="O36" s="10">
        <f t="shared" si="14"/>
        <v>0</v>
      </c>
      <c r="P36" s="10">
        <f t="shared" si="14"/>
        <v>1</v>
      </c>
      <c r="Q36" s="10">
        <f t="shared" si="14"/>
        <v>0</v>
      </c>
      <c r="R36" s="10">
        <f t="shared" si="14"/>
        <v>0</v>
      </c>
      <c r="S36" s="10">
        <f t="shared" si="14"/>
        <v>0</v>
      </c>
      <c r="T36" s="10">
        <f t="shared" si="14"/>
        <v>0</v>
      </c>
      <c r="U36" s="10">
        <f t="shared" si="14"/>
        <v>0</v>
      </c>
      <c r="V36" s="65"/>
    </row>
    <row r="37">
      <c r="A37" s="20"/>
      <c r="B37" s="20"/>
      <c r="C37" s="20"/>
      <c r="D37" s="20"/>
      <c r="E37" s="20"/>
      <c r="F37" s="20"/>
      <c r="G37" s="20"/>
      <c r="H37" s="20"/>
      <c r="I37" s="20"/>
      <c r="J37" s="20"/>
      <c r="K37" s="20"/>
      <c r="L37" s="21" t="str">
        <f>L$34</f>
        <v>victoire</v>
      </c>
      <c r="M37" s="21">
        <f t="shared" ref="M37:U37" si="15">IF(ISNUMBER(M36),IF(M36&lt;M$27, 1, 0), 0)</f>
        <v>1</v>
      </c>
      <c r="N37" s="21">
        <f t="shared" si="15"/>
        <v>1</v>
      </c>
      <c r="O37" s="21">
        <f t="shared" si="15"/>
        <v>1</v>
      </c>
      <c r="P37" s="21">
        <f t="shared" si="15"/>
        <v>1</v>
      </c>
      <c r="Q37" s="21">
        <f t="shared" si="15"/>
        <v>1</v>
      </c>
      <c r="R37" s="21">
        <f t="shared" si="15"/>
        <v>1</v>
      </c>
      <c r="S37" s="21">
        <f t="shared" si="15"/>
        <v>1</v>
      </c>
      <c r="T37" s="21">
        <f t="shared" si="15"/>
        <v>1</v>
      </c>
      <c r="U37" s="21">
        <f t="shared" si="15"/>
        <v>1</v>
      </c>
      <c r="V37" s="66">
        <f>SUM(M37:U37)/COUNT(M37:U37)</f>
        <v>1</v>
      </c>
      <c r="W37" s="21">
        <f>7-CEILING(V37*6,1)</f>
        <v>1</v>
      </c>
      <c r="X37" s="20"/>
    </row>
    <row r="38">
      <c r="A38" s="27">
        <f>1+(ROW(B38)-ROW(B$32))/$A$31</f>
        <v>3</v>
      </c>
      <c r="B38" s="27" t="str">
        <f t="array" ref="B38">INDEX(B$4:B$17,$A38)</f>
        <v>Squelette</v>
      </c>
      <c r="C38" s="32"/>
      <c r="D38" s="32"/>
      <c r="E38" s="27">
        <f t="array" ref="E38">INDEX(E$4:E$17,$A38)</f>
        <v>1</v>
      </c>
      <c r="F38" s="32"/>
      <c r="G38" s="27">
        <f t="shared" ref="G38:K38" si="16">INDEX(G$4:G$17,$A38)</f>
        <v>3</v>
      </c>
      <c r="H38" s="27">
        <f t="shared" si="16"/>
        <v>0</v>
      </c>
      <c r="I38" s="27">
        <f t="shared" si="16"/>
        <v>1</v>
      </c>
      <c r="J38" s="27">
        <f t="shared" si="16"/>
        <v>3</v>
      </c>
      <c r="K38" s="27">
        <f t="shared" si="16"/>
        <v>1</v>
      </c>
      <c r="L38" s="27" t="str">
        <f>L$32</f>
        <v>tours</v>
      </c>
      <c r="M38" s="27">
        <f t="shared" ref="M38:U38" si="17">CEILING(($J38-$K38)/(M$25-$I38-$K38), 1)</f>
        <v>2</v>
      </c>
      <c r="N38" s="27">
        <f t="shared" si="17"/>
        <v>1</v>
      </c>
      <c r="O38" s="27">
        <f t="shared" si="17"/>
        <v>2</v>
      </c>
      <c r="P38" s="27">
        <f t="shared" si="17"/>
        <v>1</v>
      </c>
      <c r="Q38" s="27">
        <f t="shared" si="17"/>
        <v>1</v>
      </c>
      <c r="R38" s="27">
        <f t="shared" si="17"/>
        <v>2</v>
      </c>
      <c r="S38" s="27">
        <f t="shared" si="17"/>
        <v>1</v>
      </c>
      <c r="T38" s="27">
        <f t="shared" si="17"/>
        <v>1</v>
      </c>
      <c r="U38" s="27">
        <f t="shared" si="17"/>
        <v>1</v>
      </c>
      <c r="V38" s="32"/>
      <c r="W38" s="32"/>
      <c r="X38" s="27">
        <f>$E38</f>
        <v>1</v>
      </c>
    </row>
    <row r="39">
      <c r="L39" s="10" t="str">
        <f>L$33</f>
        <v>PV perdus</v>
      </c>
      <c r="M39" s="10">
        <f t="shared" ref="M39:U39" si="18">M38*MAX($H38,$G38-M$26+$H38-M$28)</f>
        <v>0</v>
      </c>
      <c r="N39" s="10">
        <f t="shared" si="18"/>
        <v>0</v>
      </c>
      <c r="O39" s="10">
        <f t="shared" si="18"/>
        <v>0</v>
      </c>
      <c r="P39" s="10">
        <f t="shared" si="18"/>
        <v>0</v>
      </c>
      <c r="Q39" s="10">
        <f t="shared" si="18"/>
        <v>0</v>
      </c>
      <c r="R39" s="10">
        <f t="shared" si="18"/>
        <v>0</v>
      </c>
      <c r="S39" s="10">
        <f t="shared" si="18"/>
        <v>0</v>
      </c>
      <c r="T39" s="10">
        <f t="shared" si="18"/>
        <v>0</v>
      </c>
      <c r="U39" s="10">
        <f t="shared" si="18"/>
        <v>0</v>
      </c>
      <c r="V39" s="65"/>
    </row>
    <row r="40">
      <c r="A40" s="20"/>
      <c r="B40" s="20"/>
      <c r="C40" s="20"/>
      <c r="D40" s="20"/>
      <c r="E40" s="20"/>
      <c r="F40" s="20"/>
      <c r="G40" s="20"/>
      <c r="H40" s="20"/>
      <c r="I40" s="20"/>
      <c r="J40" s="20"/>
      <c r="K40" s="20"/>
      <c r="L40" s="21" t="str">
        <f>L$34</f>
        <v>victoire</v>
      </c>
      <c r="M40" s="21">
        <f t="shared" ref="M40:U40" si="19">IF(ISNUMBER(M39),IF(M39&lt;M$27, 1, 0), 0)</f>
        <v>1</v>
      </c>
      <c r="N40" s="21">
        <f t="shared" si="19"/>
        <v>1</v>
      </c>
      <c r="O40" s="21">
        <f t="shared" si="19"/>
        <v>1</v>
      </c>
      <c r="P40" s="21">
        <f t="shared" si="19"/>
        <v>1</v>
      </c>
      <c r="Q40" s="21">
        <f t="shared" si="19"/>
        <v>1</v>
      </c>
      <c r="R40" s="21">
        <f t="shared" si="19"/>
        <v>1</v>
      </c>
      <c r="S40" s="21">
        <f t="shared" si="19"/>
        <v>1</v>
      </c>
      <c r="T40" s="21">
        <f t="shared" si="19"/>
        <v>1</v>
      </c>
      <c r="U40" s="21">
        <f t="shared" si="19"/>
        <v>1</v>
      </c>
      <c r="V40" s="66">
        <f>SUM(M40:U40)/COUNT(M40:U40)</f>
        <v>1</v>
      </c>
      <c r="W40" s="21">
        <f>7-CEILING(V40*6,1)</f>
        <v>1</v>
      </c>
      <c r="X40" s="20"/>
    </row>
    <row r="41">
      <c r="A41" s="27">
        <f>1+(ROW(B41)-ROW(B$32))/$A$31</f>
        <v>4</v>
      </c>
      <c r="B41" s="27" t="str">
        <f t="array" ref="B41">INDEX(B$4:B$17,$A41)</f>
        <v>Zombie</v>
      </c>
      <c r="C41" s="32"/>
      <c r="D41" s="32"/>
      <c r="E41" s="27">
        <f t="array" ref="E41">INDEX(E$4:E$17,$A41)</f>
        <v>1</v>
      </c>
      <c r="F41" s="32"/>
      <c r="G41" s="27">
        <f t="shared" ref="G41:K41" si="20">INDEX(G$4:G$17,$A41)</f>
        <v>2</v>
      </c>
      <c r="H41" s="27">
        <f t="shared" si="20"/>
        <v>0</v>
      </c>
      <c r="I41" s="27">
        <f t="shared" si="20"/>
        <v>2</v>
      </c>
      <c r="J41" s="27">
        <f t="shared" si="20"/>
        <v>2</v>
      </c>
      <c r="K41" s="27">
        <f t="shared" si="20"/>
        <v>1</v>
      </c>
      <c r="L41" s="27" t="str">
        <f>L$32</f>
        <v>tours</v>
      </c>
      <c r="M41" s="27" t="str">
        <f t="shared" ref="M41:U41" si="21">CEILING(($J41-$K41)/(M$25-$I41-$K41), 1)</f>
        <v>#DIV/0!</v>
      </c>
      <c r="N41" s="27">
        <f t="shared" si="21"/>
        <v>1</v>
      </c>
      <c r="O41" s="27" t="str">
        <f t="shared" si="21"/>
        <v>#DIV/0!</v>
      </c>
      <c r="P41" s="27">
        <f t="shared" si="21"/>
        <v>1</v>
      </c>
      <c r="Q41" s="27">
        <f t="shared" si="21"/>
        <v>1</v>
      </c>
      <c r="R41" s="27" t="str">
        <f t="shared" si="21"/>
        <v>#DIV/0!</v>
      </c>
      <c r="S41" s="27">
        <f t="shared" si="21"/>
        <v>1</v>
      </c>
      <c r="T41" s="27">
        <f t="shared" si="21"/>
        <v>1</v>
      </c>
      <c r="U41" s="27">
        <f t="shared" si="21"/>
        <v>1</v>
      </c>
      <c r="V41" s="32"/>
      <c r="W41" s="32"/>
      <c r="X41" s="27">
        <f>$E41</f>
        <v>1</v>
      </c>
    </row>
    <row r="42">
      <c r="L42" s="10" t="str">
        <f>L$33</f>
        <v>PV perdus</v>
      </c>
      <c r="M42" s="10" t="str">
        <f t="shared" ref="M42:U42" si="22">M41*MAX($H41,$G41-M$26+$H41-M$28)</f>
        <v>#DIV/0!</v>
      </c>
      <c r="N42" s="10">
        <f t="shared" si="22"/>
        <v>0</v>
      </c>
      <c r="O42" s="10" t="str">
        <f t="shared" si="22"/>
        <v>#DIV/0!</v>
      </c>
      <c r="P42" s="10">
        <f t="shared" si="22"/>
        <v>0</v>
      </c>
      <c r="Q42" s="10">
        <f t="shared" si="22"/>
        <v>0</v>
      </c>
      <c r="R42" s="10" t="str">
        <f t="shared" si="22"/>
        <v>#DIV/0!</v>
      </c>
      <c r="S42" s="10">
        <f t="shared" si="22"/>
        <v>0</v>
      </c>
      <c r="T42" s="10">
        <f t="shared" si="22"/>
        <v>0</v>
      </c>
      <c r="U42" s="10">
        <f t="shared" si="22"/>
        <v>0</v>
      </c>
      <c r="V42" s="65"/>
    </row>
    <row r="43">
      <c r="A43" s="20"/>
      <c r="B43" s="20"/>
      <c r="C43" s="20"/>
      <c r="D43" s="20"/>
      <c r="E43" s="20"/>
      <c r="F43" s="20"/>
      <c r="G43" s="20"/>
      <c r="H43" s="20"/>
      <c r="I43" s="20"/>
      <c r="J43" s="20"/>
      <c r="K43" s="20"/>
      <c r="L43" s="21" t="str">
        <f>L$34</f>
        <v>victoire</v>
      </c>
      <c r="M43" s="21">
        <f t="shared" ref="M43:U43" si="23">IF(ISNUMBER(M42),IF(M42&lt;M$27, 1, 0), 0)</f>
        <v>0</v>
      </c>
      <c r="N43" s="21">
        <f t="shared" si="23"/>
        <v>1</v>
      </c>
      <c r="O43" s="21">
        <f t="shared" si="23"/>
        <v>0</v>
      </c>
      <c r="P43" s="21">
        <f t="shared" si="23"/>
        <v>1</v>
      </c>
      <c r="Q43" s="21">
        <f t="shared" si="23"/>
        <v>1</v>
      </c>
      <c r="R43" s="21">
        <f t="shared" si="23"/>
        <v>0</v>
      </c>
      <c r="S43" s="21">
        <f t="shared" si="23"/>
        <v>1</v>
      </c>
      <c r="T43" s="21">
        <f t="shared" si="23"/>
        <v>1</v>
      </c>
      <c r="U43" s="21">
        <f t="shared" si="23"/>
        <v>1</v>
      </c>
      <c r="V43" s="66">
        <f>SUM(M43:U43)/COUNT(M43:U43)</f>
        <v>0.6666666667</v>
      </c>
      <c r="W43" s="21">
        <f>7-CEILING(V43*6,1)</f>
        <v>3</v>
      </c>
      <c r="X43" s="20"/>
    </row>
    <row r="44">
      <c r="A44" s="27">
        <f>1+(ROW(B44)-ROW(B$32))/$A$31</f>
        <v>5</v>
      </c>
      <c r="B44" s="27" t="str">
        <f t="array" ref="B44">INDEX(B$4:B$17,$A44)</f>
        <v>Orc</v>
      </c>
      <c r="C44" s="32"/>
      <c r="D44" s="32"/>
      <c r="E44" s="27">
        <f t="array" ref="E44">INDEX(E$4:E$17,$A44)</f>
        <v>2</v>
      </c>
      <c r="F44" s="32"/>
      <c r="G44" s="27">
        <f t="shared" ref="G44:K44" si="24">INDEX(G$4:G$17,$A44)</f>
        <v>4</v>
      </c>
      <c r="H44" s="27">
        <f t="shared" si="24"/>
        <v>0</v>
      </c>
      <c r="I44" s="27">
        <f t="shared" si="24"/>
        <v>3</v>
      </c>
      <c r="J44" s="27">
        <f t="shared" si="24"/>
        <v>6</v>
      </c>
      <c r="K44" s="27">
        <f t="shared" si="24"/>
        <v>0</v>
      </c>
      <c r="L44" s="27" t="str">
        <f>L$32</f>
        <v>tours</v>
      </c>
      <c r="M44" s="27" t="str">
        <f t="shared" ref="M44:U44" si="25">CEILING(($J44-$K44)/(M$25-$I44-$K44), 1)</f>
        <v>#DIV/0!</v>
      </c>
      <c r="N44" s="27">
        <f t="shared" si="25"/>
        <v>6</v>
      </c>
      <c r="O44" s="27" t="str">
        <f t="shared" si="25"/>
        <v>#DIV/0!</v>
      </c>
      <c r="P44" s="27">
        <f t="shared" si="25"/>
        <v>3</v>
      </c>
      <c r="Q44" s="27">
        <f t="shared" si="25"/>
        <v>3</v>
      </c>
      <c r="R44" s="27" t="str">
        <f t="shared" si="25"/>
        <v>#DIV/0!</v>
      </c>
      <c r="S44" s="27">
        <f t="shared" si="25"/>
        <v>6</v>
      </c>
      <c r="T44" s="27">
        <f t="shared" si="25"/>
        <v>3</v>
      </c>
      <c r="U44" s="27">
        <f t="shared" si="25"/>
        <v>2</v>
      </c>
      <c r="V44" s="32"/>
      <c r="W44" s="32"/>
      <c r="X44" s="27">
        <f>$E44</f>
        <v>2</v>
      </c>
    </row>
    <row r="45">
      <c r="L45" s="10" t="str">
        <f>L$33</f>
        <v>PV perdus</v>
      </c>
      <c r="M45" s="10" t="str">
        <f t="shared" ref="M45:U45" si="26">M44*MAX($H44,$G44-M$26+$H44-M$28)</f>
        <v>#DIV/0!</v>
      </c>
      <c r="N45" s="10">
        <f t="shared" si="26"/>
        <v>6</v>
      </c>
      <c r="O45" s="10" t="str">
        <f t="shared" si="26"/>
        <v>#DIV/0!</v>
      </c>
      <c r="P45" s="10">
        <f t="shared" si="26"/>
        <v>3</v>
      </c>
      <c r="Q45" s="10">
        <f t="shared" si="26"/>
        <v>0</v>
      </c>
      <c r="R45" s="10" t="str">
        <f t="shared" si="26"/>
        <v>#DIV/0!</v>
      </c>
      <c r="S45" s="10">
        <f t="shared" si="26"/>
        <v>0</v>
      </c>
      <c r="T45" s="10">
        <f t="shared" si="26"/>
        <v>0</v>
      </c>
      <c r="U45" s="10">
        <f t="shared" si="26"/>
        <v>0</v>
      </c>
      <c r="V45" s="65"/>
    </row>
    <row r="46">
      <c r="A46" s="20"/>
      <c r="B46" s="20"/>
      <c r="C46" s="20"/>
      <c r="D46" s="20"/>
      <c r="E46" s="20"/>
      <c r="F46" s="20"/>
      <c r="G46" s="20"/>
      <c r="H46" s="20"/>
      <c r="I46" s="20"/>
      <c r="J46" s="20"/>
      <c r="K46" s="20"/>
      <c r="L46" s="21" t="str">
        <f>L$34</f>
        <v>victoire</v>
      </c>
      <c r="M46" s="21">
        <f t="shared" ref="M46:U46" si="27">IF(ISNUMBER(M45),IF(M45&lt;M$27, 1, 0), 0)</f>
        <v>0</v>
      </c>
      <c r="N46" s="21">
        <f t="shared" si="27"/>
        <v>1</v>
      </c>
      <c r="O46" s="21">
        <f t="shared" si="27"/>
        <v>0</v>
      </c>
      <c r="P46" s="21">
        <f t="shared" si="27"/>
        <v>1</v>
      </c>
      <c r="Q46" s="21">
        <f t="shared" si="27"/>
        <v>1</v>
      </c>
      <c r="R46" s="21">
        <f t="shared" si="27"/>
        <v>0</v>
      </c>
      <c r="S46" s="21">
        <f t="shared" si="27"/>
        <v>1</v>
      </c>
      <c r="T46" s="21">
        <f t="shared" si="27"/>
        <v>1</v>
      </c>
      <c r="U46" s="21">
        <f t="shared" si="27"/>
        <v>1</v>
      </c>
      <c r="V46" s="66">
        <f>SUM(M46:U46)/COUNT(M46:U46)</f>
        <v>0.6666666667</v>
      </c>
      <c r="W46" s="21">
        <f>7-CEILING(V46*6,1)</f>
        <v>3</v>
      </c>
      <c r="X46" s="20"/>
    </row>
    <row r="47">
      <c r="A47" s="27">
        <f>1+(ROW(B47)-ROW(B$32))/$A$31</f>
        <v>6</v>
      </c>
      <c r="B47" s="27" t="str">
        <f t="array" ref="B47">INDEX(B$4:B$17,$A47)</f>
        <v>Momie</v>
      </c>
      <c r="C47" s="32"/>
      <c r="D47" s="32"/>
      <c r="E47" s="27">
        <f t="array" ref="E47">INDEX(E$4:E$17,$A47)</f>
        <v>2</v>
      </c>
      <c r="F47" s="32"/>
      <c r="G47" s="27">
        <f t="shared" ref="G47:K47" si="28">INDEX(G$4:G$17,$A47)</f>
        <v>4</v>
      </c>
      <c r="H47" s="27">
        <f t="shared" si="28"/>
        <v>0</v>
      </c>
      <c r="I47" s="27">
        <f t="shared" si="28"/>
        <v>2</v>
      </c>
      <c r="J47" s="27">
        <f t="shared" si="28"/>
        <v>8</v>
      </c>
      <c r="K47" s="27">
        <f t="shared" si="28"/>
        <v>0</v>
      </c>
      <c r="L47" s="27" t="str">
        <f>L$32</f>
        <v>tours</v>
      </c>
      <c r="M47" s="27">
        <f t="shared" ref="M47:U47" si="29">CEILING(($J47-$K47)/(M$25-$I47-$K47), 1)</f>
        <v>8</v>
      </c>
      <c r="N47" s="27">
        <f t="shared" si="29"/>
        <v>4</v>
      </c>
      <c r="O47" s="27">
        <f t="shared" si="29"/>
        <v>8</v>
      </c>
      <c r="P47" s="27">
        <f t="shared" si="29"/>
        <v>3</v>
      </c>
      <c r="Q47" s="27">
        <f t="shared" si="29"/>
        <v>3</v>
      </c>
      <c r="R47" s="27">
        <f t="shared" si="29"/>
        <v>8</v>
      </c>
      <c r="S47" s="27">
        <f t="shared" si="29"/>
        <v>4</v>
      </c>
      <c r="T47" s="27">
        <f t="shared" si="29"/>
        <v>3</v>
      </c>
      <c r="U47" s="27">
        <f t="shared" si="29"/>
        <v>2</v>
      </c>
      <c r="V47" s="32"/>
      <c r="W47" s="32"/>
      <c r="X47" s="27">
        <f>$E47</f>
        <v>2</v>
      </c>
    </row>
    <row r="48">
      <c r="L48" s="10" t="str">
        <f>L$33</f>
        <v>PV perdus</v>
      </c>
      <c r="M48" s="10">
        <f t="shared" ref="M48:U48" si="30">M47*MAX($H47,$G47-M$26+$H47-M$28)</f>
        <v>8</v>
      </c>
      <c r="N48" s="10">
        <f t="shared" si="30"/>
        <v>4</v>
      </c>
      <c r="O48" s="10">
        <f t="shared" si="30"/>
        <v>0</v>
      </c>
      <c r="P48" s="10">
        <f t="shared" si="30"/>
        <v>3</v>
      </c>
      <c r="Q48" s="10">
        <f t="shared" si="30"/>
        <v>0</v>
      </c>
      <c r="R48" s="10">
        <f t="shared" si="30"/>
        <v>0</v>
      </c>
      <c r="S48" s="10">
        <f t="shared" si="30"/>
        <v>0</v>
      </c>
      <c r="T48" s="10">
        <f t="shared" si="30"/>
        <v>0</v>
      </c>
      <c r="U48" s="10">
        <f t="shared" si="30"/>
        <v>0</v>
      </c>
      <c r="V48" s="65"/>
    </row>
    <row r="49">
      <c r="A49" s="20"/>
      <c r="B49" s="20"/>
      <c r="C49" s="20"/>
      <c r="D49" s="20"/>
      <c r="E49" s="20"/>
      <c r="F49" s="20"/>
      <c r="G49" s="20"/>
      <c r="H49" s="20"/>
      <c r="I49" s="20"/>
      <c r="J49" s="20"/>
      <c r="K49" s="20"/>
      <c r="L49" s="21" t="str">
        <f>L$34</f>
        <v>victoire</v>
      </c>
      <c r="M49" s="21">
        <f t="shared" ref="M49:U49" si="31">IF(ISNUMBER(M48),IF(M48&lt;M$27, 1, 0), 0)</f>
        <v>1</v>
      </c>
      <c r="N49" s="21">
        <f t="shared" si="31"/>
        <v>1</v>
      </c>
      <c r="O49" s="21">
        <f t="shared" si="31"/>
        <v>1</v>
      </c>
      <c r="P49" s="21">
        <f t="shared" si="31"/>
        <v>1</v>
      </c>
      <c r="Q49" s="21">
        <f t="shared" si="31"/>
        <v>1</v>
      </c>
      <c r="R49" s="21">
        <f t="shared" si="31"/>
        <v>1</v>
      </c>
      <c r="S49" s="21">
        <f t="shared" si="31"/>
        <v>1</v>
      </c>
      <c r="T49" s="21">
        <f t="shared" si="31"/>
        <v>1</v>
      </c>
      <c r="U49" s="21">
        <f t="shared" si="31"/>
        <v>1</v>
      </c>
      <c r="V49" s="66">
        <f>SUM(M49:U49)/COUNT(M49:U49)</f>
        <v>1</v>
      </c>
      <c r="W49" s="21">
        <f>7-CEILING(V49*6,1)</f>
        <v>1</v>
      </c>
      <c r="X49" s="20"/>
    </row>
    <row r="50">
      <c r="A50" s="27">
        <f>1+(ROW(B50)-ROW(B$32))/$A$31</f>
        <v>7</v>
      </c>
      <c r="B50" s="27" t="str">
        <f t="array" ref="B50">INDEX(B$4:B$17,$A50)</f>
        <v>Loup-Garou</v>
      </c>
      <c r="C50" s="32"/>
      <c r="D50" s="32"/>
      <c r="E50" s="27">
        <f t="array" ref="E50">INDEX(E$4:E$17,$A50)</f>
        <v>3</v>
      </c>
      <c r="F50" s="32"/>
      <c r="G50" s="27">
        <f t="shared" ref="G50:K50" si="32">INDEX(G$4:G$17,$A50)</f>
        <v>5</v>
      </c>
      <c r="H50" s="27">
        <f t="shared" si="32"/>
        <v>0</v>
      </c>
      <c r="I50" s="27">
        <f t="shared" si="32"/>
        <v>3</v>
      </c>
      <c r="J50" s="27">
        <f t="shared" si="32"/>
        <v>8</v>
      </c>
      <c r="K50" s="27">
        <f t="shared" si="32"/>
        <v>1</v>
      </c>
      <c r="L50" s="27" t="str">
        <f>L$32</f>
        <v>tours</v>
      </c>
      <c r="M50" s="27">
        <f t="shared" ref="M50:U50" si="33">CEILING(($J50-$K50)/(M$25-$I50-$K50), 1)</f>
        <v>-7</v>
      </c>
      <c r="N50" s="27" t="str">
        <f t="shared" si="33"/>
        <v>#DIV/0!</v>
      </c>
      <c r="O50" s="27">
        <f t="shared" si="33"/>
        <v>-7</v>
      </c>
      <c r="P50" s="27">
        <f t="shared" si="33"/>
        <v>7</v>
      </c>
      <c r="Q50" s="27">
        <f t="shared" si="33"/>
        <v>7</v>
      </c>
      <c r="R50" s="27">
        <f t="shared" si="33"/>
        <v>-7</v>
      </c>
      <c r="S50" s="27" t="str">
        <f t="shared" si="33"/>
        <v>#DIV/0!</v>
      </c>
      <c r="T50" s="27">
        <f t="shared" si="33"/>
        <v>7</v>
      </c>
      <c r="U50" s="27">
        <f t="shared" si="33"/>
        <v>4</v>
      </c>
      <c r="V50" s="32"/>
      <c r="W50" s="32"/>
      <c r="X50" s="27">
        <f>$E50</f>
        <v>3</v>
      </c>
    </row>
    <row r="51">
      <c r="L51" s="10" t="str">
        <f>L$33</f>
        <v>PV perdus</v>
      </c>
      <c r="M51" s="10">
        <f t="shared" ref="M51:U51" si="34">M50*MAX($H50,$G50-M$26+$H50-M$28)</f>
        <v>-14</v>
      </c>
      <c r="N51" s="10" t="str">
        <f t="shared" si="34"/>
        <v>#DIV/0!</v>
      </c>
      <c r="O51" s="10">
        <f t="shared" si="34"/>
        <v>-7</v>
      </c>
      <c r="P51" s="10">
        <f t="shared" si="34"/>
        <v>14</v>
      </c>
      <c r="Q51" s="10">
        <f t="shared" si="34"/>
        <v>0</v>
      </c>
      <c r="R51" s="10">
        <f t="shared" si="34"/>
        <v>0</v>
      </c>
      <c r="S51" s="10" t="str">
        <f t="shared" si="34"/>
        <v>#DIV/0!</v>
      </c>
      <c r="T51" s="10">
        <f t="shared" si="34"/>
        <v>0</v>
      </c>
      <c r="U51" s="10">
        <f t="shared" si="34"/>
        <v>0</v>
      </c>
      <c r="V51" s="65"/>
    </row>
    <row r="52">
      <c r="A52" s="20"/>
      <c r="B52" s="20"/>
      <c r="C52" s="20"/>
      <c r="D52" s="20"/>
      <c r="E52" s="20"/>
      <c r="F52" s="20"/>
      <c r="G52" s="20"/>
      <c r="H52" s="20"/>
      <c r="I52" s="20"/>
      <c r="J52" s="20"/>
      <c r="K52" s="20"/>
      <c r="L52" s="21" t="str">
        <f>L$34</f>
        <v>victoire</v>
      </c>
      <c r="M52" s="21">
        <f t="shared" ref="M52:U52" si="35">IF(ISNUMBER(M51),IF(M51&lt;M$27, 1, 0), 0)</f>
        <v>1</v>
      </c>
      <c r="N52" s="21">
        <f t="shared" si="35"/>
        <v>0</v>
      </c>
      <c r="O52" s="21">
        <f t="shared" si="35"/>
        <v>1</v>
      </c>
      <c r="P52" s="21">
        <f t="shared" si="35"/>
        <v>0</v>
      </c>
      <c r="Q52" s="21">
        <f t="shared" si="35"/>
        <v>1</v>
      </c>
      <c r="R52" s="21">
        <f t="shared" si="35"/>
        <v>1</v>
      </c>
      <c r="S52" s="21">
        <f t="shared" si="35"/>
        <v>0</v>
      </c>
      <c r="T52" s="21">
        <f t="shared" si="35"/>
        <v>1</v>
      </c>
      <c r="U52" s="21">
        <f t="shared" si="35"/>
        <v>1</v>
      </c>
      <c r="V52" s="66">
        <f>SUM(M52:U52)/COUNT(M52:U52)</f>
        <v>0.6666666667</v>
      </c>
      <c r="W52" s="21">
        <f>7-CEILING(V52*6,1)</f>
        <v>3</v>
      </c>
      <c r="X52" s="20"/>
    </row>
    <row r="53">
      <c r="A53" s="27">
        <f>1+(ROW(B53)-ROW(B$32))/$A$31</f>
        <v>8</v>
      </c>
      <c r="B53" s="27" t="str">
        <f t="array" ref="B53">INDEX(B$4:B$17,$A53)</f>
        <v>Ogre</v>
      </c>
      <c r="C53" s="32"/>
      <c r="D53" s="32"/>
      <c r="E53" s="27">
        <f t="array" ref="E53">INDEX(E$4:E$17,$A53)</f>
        <v>3</v>
      </c>
      <c r="F53" s="32"/>
      <c r="G53" s="27">
        <f t="shared" ref="G53:K53" si="36">INDEX(G$4:G$17,$A53)</f>
        <v>6</v>
      </c>
      <c r="H53" s="27">
        <f t="shared" si="36"/>
        <v>0</v>
      </c>
      <c r="I53" s="27">
        <f t="shared" si="36"/>
        <v>3</v>
      </c>
      <c r="J53" s="27">
        <f t="shared" si="36"/>
        <v>10</v>
      </c>
      <c r="K53" s="27">
        <f t="shared" si="36"/>
        <v>0</v>
      </c>
      <c r="L53" s="27" t="str">
        <f>L$32</f>
        <v>tours</v>
      </c>
      <c r="M53" s="27" t="str">
        <f t="shared" ref="M53:U53" si="37">CEILING(($J53-$K53)/(M$25-$I53-$K53), 1)</f>
        <v>#DIV/0!</v>
      </c>
      <c r="N53" s="27">
        <f t="shared" si="37"/>
        <v>10</v>
      </c>
      <c r="O53" s="27" t="str">
        <f t="shared" si="37"/>
        <v>#DIV/0!</v>
      </c>
      <c r="P53" s="27">
        <f t="shared" si="37"/>
        <v>5</v>
      </c>
      <c r="Q53" s="27">
        <f t="shared" si="37"/>
        <v>5</v>
      </c>
      <c r="R53" s="27" t="str">
        <f t="shared" si="37"/>
        <v>#DIV/0!</v>
      </c>
      <c r="S53" s="27">
        <f t="shared" si="37"/>
        <v>10</v>
      </c>
      <c r="T53" s="27">
        <f t="shared" si="37"/>
        <v>5</v>
      </c>
      <c r="U53" s="27">
        <f t="shared" si="37"/>
        <v>4</v>
      </c>
      <c r="V53" s="32"/>
      <c r="W53" s="32"/>
      <c r="X53" s="27">
        <f>$E53</f>
        <v>3</v>
      </c>
    </row>
    <row r="54">
      <c r="L54" s="10" t="str">
        <f>L$33</f>
        <v>PV perdus</v>
      </c>
      <c r="M54" s="10" t="str">
        <f t="shared" ref="M54:U54" si="38">M53*MAX($H53,$G53-M$26+$H53-M$28)</f>
        <v>#DIV/0!</v>
      </c>
      <c r="N54" s="10">
        <f t="shared" si="38"/>
        <v>30</v>
      </c>
      <c r="O54" s="10" t="str">
        <f t="shared" si="38"/>
        <v>#DIV/0!</v>
      </c>
      <c r="P54" s="10">
        <f t="shared" si="38"/>
        <v>15</v>
      </c>
      <c r="Q54" s="10">
        <f t="shared" si="38"/>
        <v>5</v>
      </c>
      <c r="R54" s="10" t="str">
        <f t="shared" si="38"/>
        <v>#DIV/0!</v>
      </c>
      <c r="S54" s="10">
        <f t="shared" si="38"/>
        <v>0</v>
      </c>
      <c r="T54" s="10">
        <f t="shared" si="38"/>
        <v>0</v>
      </c>
      <c r="U54" s="10">
        <f t="shared" si="38"/>
        <v>0</v>
      </c>
      <c r="V54" s="65"/>
    </row>
    <row r="55">
      <c r="A55" s="20"/>
      <c r="B55" s="20"/>
      <c r="C55" s="20"/>
      <c r="D55" s="20"/>
      <c r="E55" s="20"/>
      <c r="F55" s="20"/>
      <c r="G55" s="20"/>
      <c r="H55" s="20"/>
      <c r="I55" s="20"/>
      <c r="J55" s="20"/>
      <c r="K55" s="20"/>
      <c r="L55" s="21" t="str">
        <f>L$34</f>
        <v>victoire</v>
      </c>
      <c r="M55" s="21">
        <f t="shared" ref="M55:U55" si="39">IF(ISNUMBER(M54),IF(M54&lt;M$27, 1, 0), 0)</f>
        <v>0</v>
      </c>
      <c r="N55" s="21">
        <f t="shared" si="39"/>
        <v>0</v>
      </c>
      <c r="O55" s="21">
        <f t="shared" si="39"/>
        <v>0</v>
      </c>
      <c r="P55" s="21">
        <f t="shared" si="39"/>
        <v>0</v>
      </c>
      <c r="Q55" s="21">
        <f t="shared" si="39"/>
        <v>1</v>
      </c>
      <c r="R55" s="21">
        <f t="shared" si="39"/>
        <v>0</v>
      </c>
      <c r="S55" s="21">
        <f t="shared" si="39"/>
        <v>1</v>
      </c>
      <c r="T55" s="21">
        <f t="shared" si="39"/>
        <v>1</v>
      </c>
      <c r="U55" s="21">
        <f t="shared" si="39"/>
        <v>1</v>
      </c>
      <c r="V55" s="66">
        <f>SUM(M55:U55)/COUNT(M55:U55)</f>
        <v>0.4444444444</v>
      </c>
      <c r="W55" s="21">
        <f>7-CEILING(V55*6,1)</f>
        <v>4</v>
      </c>
      <c r="X55" s="20"/>
    </row>
    <row r="56">
      <c r="A56" s="27">
        <f>1+(ROW(B56)-ROW(B$32))/$A$31</f>
        <v>9</v>
      </c>
      <c r="B56" s="27" t="str">
        <f t="array" ref="B56">INDEX(B$4:B$17,$A56)</f>
        <v>Sorcière</v>
      </c>
      <c r="C56" s="32"/>
      <c r="D56" s="32"/>
      <c r="E56" s="27">
        <f t="array" ref="E56">INDEX(E$4:E$17,$A56)</f>
        <v>4</v>
      </c>
      <c r="F56" s="32"/>
      <c r="G56" s="27">
        <f t="shared" ref="G56:K56" si="40">INDEX(G$4:G$17,$A56)</f>
        <v>3</v>
      </c>
      <c r="H56" s="27">
        <f t="shared" si="40"/>
        <v>0</v>
      </c>
      <c r="I56" s="27">
        <f t="shared" si="40"/>
        <v>2</v>
      </c>
      <c r="J56" s="27">
        <f t="shared" si="40"/>
        <v>6</v>
      </c>
      <c r="K56" s="27">
        <f t="shared" si="40"/>
        <v>0</v>
      </c>
      <c r="L56" s="27" t="str">
        <f>L$32</f>
        <v>tours</v>
      </c>
      <c r="M56" s="27">
        <f t="shared" ref="M56:U56" si="41">CEILING(($J56-$K56)/(M$25-$I56-$K56), 1)</f>
        <v>6</v>
      </c>
      <c r="N56" s="27">
        <f t="shared" si="41"/>
        <v>3</v>
      </c>
      <c r="O56" s="27">
        <f t="shared" si="41"/>
        <v>6</v>
      </c>
      <c r="P56" s="27">
        <f t="shared" si="41"/>
        <v>2</v>
      </c>
      <c r="Q56" s="27">
        <f t="shared" si="41"/>
        <v>2</v>
      </c>
      <c r="R56" s="27">
        <f t="shared" si="41"/>
        <v>6</v>
      </c>
      <c r="S56" s="27">
        <f t="shared" si="41"/>
        <v>3</v>
      </c>
      <c r="T56" s="27">
        <f t="shared" si="41"/>
        <v>2</v>
      </c>
      <c r="U56" s="27">
        <f t="shared" si="41"/>
        <v>2</v>
      </c>
      <c r="V56" s="32"/>
      <c r="W56" s="32"/>
      <c r="X56" s="27">
        <f>$E56</f>
        <v>4</v>
      </c>
    </row>
    <row r="57">
      <c r="L57" s="10" t="str">
        <f>L$33</f>
        <v>PV perdus</v>
      </c>
      <c r="M57" s="10">
        <f t="shared" ref="M57:U57" si="42">M56*MAX($H56,$G56-M$26+$H56-M$28)</f>
        <v>0</v>
      </c>
      <c r="N57" s="10">
        <f t="shared" si="42"/>
        <v>0</v>
      </c>
      <c r="O57" s="10">
        <f t="shared" si="42"/>
        <v>0</v>
      </c>
      <c r="P57" s="10">
        <f t="shared" si="42"/>
        <v>0</v>
      </c>
      <c r="Q57" s="10">
        <f t="shared" si="42"/>
        <v>0</v>
      </c>
      <c r="R57" s="10">
        <f t="shared" si="42"/>
        <v>0</v>
      </c>
      <c r="S57" s="10">
        <f t="shared" si="42"/>
        <v>0</v>
      </c>
      <c r="T57" s="10">
        <f t="shared" si="42"/>
        <v>0</v>
      </c>
      <c r="U57" s="10">
        <f t="shared" si="42"/>
        <v>0</v>
      </c>
      <c r="V57" s="65"/>
    </row>
    <row r="58">
      <c r="A58" s="20"/>
      <c r="B58" s="20"/>
      <c r="C58" s="20"/>
      <c r="D58" s="20"/>
      <c r="E58" s="20"/>
      <c r="F58" s="20"/>
      <c r="G58" s="20"/>
      <c r="H58" s="20"/>
      <c r="I58" s="20"/>
      <c r="J58" s="20"/>
      <c r="K58" s="20"/>
      <c r="L58" s="21" t="str">
        <f>L$34</f>
        <v>victoire</v>
      </c>
      <c r="M58" s="21">
        <f t="shared" ref="M58:U58" si="43">IF(ISNUMBER(M57),IF(M57&lt;M$27, 1, 0), 0)</f>
        <v>1</v>
      </c>
      <c r="N58" s="21">
        <f t="shared" si="43"/>
        <v>1</v>
      </c>
      <c r="O58" s="21">
        <f t="shared" si="43"/>
        <v>1</v>
      </c>
      <c r="P58" s="21">
        <f t="shared" si="43"/>
        <v>1</v>
      </c>
      <c r="Q58" s="21">
        <f t="shared" si="43"/>
        <v>1</v>
      </c>
      <c r="R58" s="21">
        <f t="shared" si="43"/>
        <v>1</v>
      </c>
      <c r="S58" s="21">
        <f t="shared" si="43"/>
        <v>1</v>
      </c>
      <c r="T58" s="21">
        <f t="shared" si="43"/>
        <v>1</v>
      </c>
      <c r="U58" s="21">
        <f t="shared" si="43"/>
        <v>1</v>
      </c>
      <c r="V58" s="66">
        <f>SUM(M58:U58)/COUNT(M58:U58)</f>
        <v>1</v>
      </c>
      <c r="W58" s="21">
        <f>7-CEILING(V58*6,1)</f>
        <v>1</v>
      </c>
      <c r="X58" s="20"/>
    </row>
    <row r="59">
      <c r="A59" s="27">
        <f>1+(ROW(B59)-ROW(B$32))/$A$31</f>
        <v>10</v>
      </c>
      <c r="B59" s="27" t="str">
        <f t="array" ref="B59">INDEX(B$4:B$17,$A59)</f>
        <v>Spectre</v>
      </c>
      <c r="C59" s="32"/>
      <c r="D59" s="32"/>
      <c r="E59" s="27">
        <f t="array" ref="E59">INDEX(E$4:E$17,$A59)</f>
        <v>4</v>
      </c>
      <c r="F59" s="32"/>
      <c r="G59" s="27" t="str">
        <f t="shared" ref="G59:K59" si="44">INDEX(G$4:G$17,$A59)</f>
        <v/>
      </c>
      <c r="H59" s="27">
        <f t="shared" si="44"/>
        <v>0</v>
      </c>
      <c r="I59" s="27" t="str">
        <f t="shared" si="44"/>
        <v/>
      </c>
      <c r="J59" s="27" t="str">
        <f t="shared" si="44"/>
        <v/>
      </c>
      <c r="K59" s="27">
        <f t="shared" si="44"/>
        <v>0</v>
      </c>
      <c r="L59" s="27" t="str">
        <f>L$32</f>
        <v>tours</v>
      </c>
      <c r="M59" s="27">
        <f t="shared" ref="M59:U59" si="45">CEILING(($J59-$K59)/(M$25-$I59-$K59), 1)</f>
        <v>0</v>
      </c>
      <c r="N59" s="27">
        <f t="shared" si="45"/>
        <v>0</v>
      </c>
      <c r="O59" s="27">
        <f t="shared" si="45"/>
        <v>0</v>
      </c>
      <c r="P59" s="27">
        <f t="shared" si="45"/>
        <v>0</v>
      </c>
      <c r="Q59" s="27">
        <f t="shared" si="45"/>
        <v>0</v>
      </c>
      <c r="R59" s="27">
        <f t="shared" si="45"/>
        <v>0</v>
      </c>
      <c r="S59" s="27">
        <f t="shared" si="45"/>
        <v>0</v>
      </c>
      <c r="T59" s="27">
        <f t="shared" si="45"/>
        <v>0</v>
      </c>
      <c r="U59" s="27">
        <f t="shared" si="45"/>
        <v>0</v>
      </c>
      <c r="V59" s="32"/>
      <c r="W59" s="32"/>
      <c r="X59" s="27">
        <f>$E59</f>
        <v>4</v>
      </c>
    </row>
    <row r="60">
      <c r="L60" s="10" t="str">
        <f>L$33</f>
        <v>PV perdus</v>
      </c>
      <c r="M60" s="10">
        <f t="shared" ref="M60:U60" si="46">M59*MAX($H59,$G59-M$26+$H59-M$28)</f>
        <v>0</v>
      </c>
      <c r="N60" s="10">
        <f t="shared" si="46"/>
        <v>0</v>
      </c>
      <c r="O60" s="10">
        <f t="shared" si="46"/>
        <v>0</v>
      </c>
      <c r="P60" s="10">
        <f t="shared" si="46"/>
        <v>0</v>
      </c>
      <c r="Q60" s="10">
        <f t="shared" si="46"/>
        <v>0</v>
      </c>
      <c r="R60" s="10">
        <f t="shared" si="46"/>
        <v>0</v>
      </c>
      <c r="S60" s="10">
        <f t="shared" si="46"/>
        <v>0</v>
      </c>
      <c r="T60" s="10">
        <f t="shared" si="46"/>
        <v>0</v>
      </c>
      <c r="U60" s="10">
        <f t="shared" si="46"/>
        <v>0</v>
      </c>
      <c r="V60" s="65"/>
    </row>
    <row r="61">
      <c r="A61" s="20"/>
      <c r="B61" s="20"/>
      <c r="C61" s="20"/>
      <c r="D61" s="20"/>
      <c r="E61" s="20"/>
      <c r="F61" s="20"/>
      <c r="G61" s="20"/>
      <c r="H61" s="20"/>
      <c r="I61" s="20"/>
      <c r="J61" s="20"/>
      <c r="K61" s="20"/>
      <c r="L61" s="21" t="str">
        <f>L$34</f>
        <v>victoire</v>
      </c>
      <c r="M61" s="21">
        <f t="shared" ref="M61:U61" si="47">IF(ISNUMBER(M60),IF(M60&lt;M$27, 1, 0), 0)</f>
        <v>1</v>
      </c>
      <c r="N61" s="21">
        <f t="shared" si="47"/>
        <v>1</v>
      </c>
      <c r="O61" s="21">
        <f t="shared" si="47"/>
        <v>1</v>
      </c>
      <c r="P61" s="21">
        <f t="shared" si="47"/>
        <v>1</v>
      </c>
      <c r="Q61" s="21">
        <f t="shared" si="47"/>
        <v>1</v>
      </c>
      <c r="R61" s="21">
        <f t="shared" si="47"/>
        <v>1</v>
      </c>
      <c r="S61" s="21">
        <f t="shared" si="47"/>
        <v>1</v>
      </c>
      <c r="T61" s="21">
        <f t="shared" si="47"/>
        <v>1</v>
      </c>
      <c r="U61" s="21">
        <f t="shared" si="47"/>
        <v>1</v>
      </c>
      <c r="V61" s="66">
        <f>SUM(M61:U61)/COUNT(M61:U61)</f>
        <v>1</v>
      </c>
      <c r="W61" s="21">
        <f>7-CEILING(V61*6,1)</f>
        <v>1</v>
      </c>
      <c r="X61" s="20"/>
    </row>
    <row r="62">
      <c r="A62" s="27">
        <f>1+(ROW(B62)-ROW(B$32))/$A$31</f>
        <v>11</v>
      </c>
      <c r="B62" s="27" t="str">
        <f t="array" ref="B62">INDEX(B$4:B$17,$A62)</f>
        <v>Chevalier du chaos</v>
      </c>
      <c r="C62" s="32"/>
      <c r="D62" s="32"/>
      <c r="E62" s="27">
        <f t="array" ref="E62">INDEX(E$4:E$17,$A62)</f>
        <v>6</v>
      </c>
      <c r="F62" s="32"/>
      <c r="G62" s="27">
        <f t="shared" ref="G62:K62" si="48">INDEX(G$4:G$17,$A62)</f>
        <v>8</v>
      </c>
      <c r="H62" s="27">
        <f t="shared" si="48"/>
        <v>0</v>
      </c>
      <c r="I62" s="27">
        <f t="shared" si="48"/>
        <v>3</v>
      </c>
      <c r="J62" s="27">
        <f t="shared" si="48"/>
        <v>8</v>
      </c>
      <c r="K62" s="27">
        <f t="shared" si="48"/>
        <v>0</v>
      </c>
      <c r="L62" s="27" t="str">
        <f>L$32</f>
        <v>tours</v>
      </c>
      <c r="M62" s="27" t="str">
        <f t="shared" ref="M62:U62" si="49">CEILING(($J62-$K62)/(M$25-$I62-$K62), 1)</f>
        <v>#DIV/0!</v>
      </c>
      <c r="N62" s="27">
        <f t="shared" si="49"/>
        <v>8</v>
      </c>
      <c r="O62" s="27" t="str">
        <f t="shared" si="49"/>
        <v>#DIV/0!</v>
      </c>
      <c r="P62" s="27">
        <f t="shared" si="49"/>
        <v>4</v>
      </c>
      <c r="Q62" s="27">
        <f t="shared" si="49"/>
        <v>4</v>
      </c>
      <c r="R62" s="27" t="str">
        <f t="shared" si="49"/>
        <v>#DIV/0!</v>
      </c>
      <c r="S62" s="27">
        <f t="shared" si="49"/>
        <v>8</v>
      </c>
      <c r="T62" s="27">
        <f t="shared" si="49"/>
        <v>4</v>
      </c>
      <c r="U62" s="27">
        <f t="shared" si="49"/>
        <v>3</v>
      </c>
      <c r="V62" s="32"/>
      <c r="W62" s="32"/>
      <c r="X62" s="27">
        <f>$E62</f>
        <v>6</v>
      </c>
    </row>
    <row r="63">
      <c r="L63" s="10" t="str">
        <f>L$33</f>
        <v>PV perdus</v>
      </c>
      <c r="M63" s="10" t="str">
        <f t="shared" ref="M63:U63" si="50">M62*MAX($H62,$G62-M$26+$H62-M$28)</f>
        <v>#DIV/0!</v>
      </c>
      <c r="N63" s="10">
        <f t="shared" si="50"/>
        <v>40</v>
      </c>
      <c r="O63" s="10" t="str">
        <f t="shared" si="50"/>
        <v>#DIV/0!</v>
      </c>
      <c r="P63" s="10">
        <f t="shared" si="50"/>
        <v>20</v>
      </c>
      <c r="Q63" s="10">
        <f t="shared" si="50"/>
        <v>12</v>
      </c>
      <c r="R63" s="10" t="str">
        <f t="shared" si="50"/>
        <v>#DIV/0!</v>
      </c>
      <c r="S63" s="10">
        <f t="shared" si="50"/>
        <v>16</v>
      </c>
      <c r="T63" s="10">
        <f t="shared" si="50"/>
        <v>8</v>
      </c>
      <c r="U63" s="10">
        <f t="shared" si="50"/>
        <v>0</v>
      </c>
      <c r="V63" s="65"/>
    </row>
    <row r="64">
      <c r="A64" s="20"/>
      <c r="B64" s="20"/>
      <c r="C64" s="20"/>
      <c r="D64" s="20"/>
      <c r="E64" s="20"/>
      <c r="F64" s="20"/>
      <c r="G64" s="20"/>
      <c r="H64" s="20"/>
      <c r="I64" s="20"/>
      <c r="J64" s="20"/>
      <c r="K64" s="20"/>
      <c r="L64" s="21" t="str">
        <f>L$34</f>
        <v>victoire</v>
      </c>
      <c r="M64" s="21">
        <f t="shared" ref="M64:U64" si="51">IF(ISNUMBER(M63),IF(M63&lt;M$27, 1, 0), 0)</f>
        <v>0</v>
      </c>
      <c r="N64" s="21">
        <f t="shared" si="51"/>
        <v>0</v>
      </c>
      <c r="O64" s="21">
        <f t="shared" si="51"/>
        <v>0</v>
      </c>
      <c r="P64" s="21">
        <f t="shared" si="51"/>
        <v>0</v>
      </c>
      <c r="Q64" s="21">
        <f t="shared" si="51"/>
        <v>0</v>
      </c>
      <c r="R64" s="21">
        <f t="shared" si="51"/>
        <v>0</v>
      </c>
      <c r="S64" s="21">
        <f t="shared" si="51"/>
        <v>0</v>
      </c>
      <c r="T64" s="21">
        <f t="shared" si="51"/>
        <v>1</v>
      </c>
      <c r="U64" s="21">
        <f t="shared" si="51"/>
        <v>1</v>
      </c>
      <c r="V64" s="66">
        <f>SUM(M64:U64)/COUNT(M64:U64)</f>
        <v>0.2222222222</v>
      </c>
      <c r="W64" s="21">
        <f>7-CEILING(V64*6,1)</f>
        <v>5</v>
      </c>
      <c r="X64" s="20"/>
    </row>
    <row r="65">
      <c r="A65" s="27">
        <f>1+(ROW(B65)-ROW(B$32))/$A$31</f>
        <v>12</v>
      </c>
      <c r="B65" s="27" t="str">
        <f t="array" ref="B65">INDEX(B$4:B$17,$A65)</f>
        <v>Golem</v>
      </c>
      <c r="C65" s="32"/>
      <c r="D65" s="32"/>
      <c r="E65" s="27">
        <f t="array" ref="E65">INDEX(E$4:E$17,$A65)</f>
        <v>6</v>
      </c>
      <c r="F65" s="32"/>
      <c r="G65" s="27">
        <f t="shared" ref="G65:K65" si="52">INDEX(G$4:G$17,$A65)</f>
        <v>5</v>
      </c>
      <c r="H65" s="27">
        <f t="shared" si="52"/>
        <v>0</v>
      </c>
      <c r="I65" s="27">
        <f t="shared" si="52"/>
        <v>4</v>
      </c>
      <c r="J65" s="27">
        <f t="shared" si="52"/>
        <v>12</v>
      </c>
      <c r="K65" s="27">
        <f t="shared" si="52"/>
        <v>2</v>
      </c>
      <c r="L65" s="27" t="str">
        <f>L$32</f>
        <v>tours</v>
      </c>
      <c r="M65" s="27">
        <f t="shared" ref="M65:U65" si="53">CEILING(($J65-$K65)/(M$25-$I65-$K65), 1)</f>
        <v>-3</v>
      </c>
      <c r="N65" s="27">
        <f t="shared" si="53"/>
        <v>-5</v>
      </c>
      <c r="O65" s="27">
        <f t="shared" si="53"/>
        <v>-3</v>
      </c>
      <c r="P65" s="27">
        <f t="shared" si="53"/>
        <v>-10</v>
      </c>
      <c r="Q65" s="27">
        <f t="shared" si="53"/>
        <v>-10</v>
      </c>
      <c r="R65" s="27">
        <f t="shared" si="53"/>
        <v>-3</v>
      </c>
      <c r="S65" s="27">
        <f t="shared" si="53"/>
        <v>-5</v>
      </c>
      <c r="T65" s="27">
        <f t="shared" si="53"/>
        <v>-10</v>
      </c>
      <c r="U65" s="27" t="str">
        <f t="shared" si="53"/>
        <v>#DIV/0!</v>
      </c>
      <c r="V65" s="32"/>
      <c r="W65" s="32"/>
      <c r="X65" s="27">
        <f>$E65</f>
        <v>6</v>
      </c>
    </row>
    <row r="66">
      <c r="L66" s="10" t="str">
        <f>L$33</f>
        <v>PV perdus</v>
      </c>
      <c r="M66" s="10">
        <f t="shared" ref="M66:U66" si="54">M65*MAX($H65,$G65-M$26+$H65-M$28)</f>
        <v>-6</v>
      </c>
      <c r="N66" s="10">
        <f t="shared" si="54"/>
        <v>-10</v>
      </c>
      <c r="O66" s="10">
        <f t="shared" si="54"/>
        <v>-3</v>
      </c>
      <c r="P66" s="10">
        <f t="shared" si="54"/>
        <v>-20</v>
      </c>
      <c r="Q66" s="10">
        <f t="shared" si="54"/>
        <v>0</v>
      </c>
      <c r="R66" s="10">
        <f t="shared" si="54"/>
        <v>0</v>
      </c>
      <c r="S66" s="10">
        <f t="shared" si="54"/>
        <v>0</v>
      </c>
      <c r="T66" s="10">
        <f t="shared" si="54"/>
        <v>0</v>
      </c>
      <c r="U66" s="10" t="str">
        <f t="shared" si="54"/>
        <v>#DIV/0!</v>
      </c>
      <c r="V66" s="65"/>
    </row>
    <row r="67">
      <c r="A67" s="20"/>
      <c r="B67" s="20"/>
      <c r="C67" s="20"/>
      <c r="D67" s="20"/>
      <c r="E67" s="20"/>
      <c r="F67" s="20"/>
      <c r="G67" s="20"/>
      <c r="H67" s="20"/>
      <c r="I67" s="20"/>
      <c r="J67" s="20"/>
      <c r="K67" s="20"/>
      <c r="L67" s="21" t="str">
        <f>L$34</f>
        <v>victoire</v>
      </c>
      <c r="M67" s="21">
        <f t="shared" ref="M67:U67" si="55">IF(ISNUMBER(M66),IF(M66&lt;M$27, 1, 0), 0)</f>
        <v>1</v>
      </c>
      <c r="N67" s="21">
        <f t="shared" si="55"/>
        <v>1</v>
      </c>
      <c r="O67" s="21">
        <f t="shared" si="55"/>
        <v>1</v>
      </c>
      <c r="P67" s="21">
        <f t="shared" si="55"/>
        <v>1</v>
      </c>
      <c r="Q67" s="21">
        <f t="shared" si="55"/>
        <v>1</v>
      </c>
      <c r="R67" s="21">
        <f t="shared" si="55"/>
        <v>1</v>
      </c>
      <c r="S67" s="21">
        <f t="shared" si="55"/>
        <v>1</v>
      </c>
      <c r="T67" s="21">
        <f t="shared" si="55"/>
        <v>1</v>
      </c>
      <c r="U67" s="21">
        <f t="shared" si="55"/>
        <v>0</v>
      </c>
      <c r="V67" s="66">
        <f>SUM(M67:U67)/COUNT(M67:U67)</f>
        <v>0.8888888889</v>
      </c>
      <c r="W67" s="21">
        <f>7-CEILING(V67*6,1)</f>
        <v>1</v>
      </c>
      <c r="X67" s="20"/>
    </row>
    <row r="68">
      <c r="A68" s="27">
        <f>1+(ROW(B68)-ROW(B$32))/$A$31</f>
        <v>13</v>
      </c>
      <c r="B68" s="27" t="str">
        <f t="array" ref="B68">INDEX(B$4:B$17,$A68)</f>
        <v>Nécromant</v>
      </c>
      <c r="C68" s="32"/>
      <c r="D68" s="32"/>
      <c r="E68" s="27">
        <f t="array" ref="E68">INDEX(E$4:E$17,$A68)</f>
        <v>6</v>
      </c>
      <c r="F68" s="32"/>
      <c r="G68" s="27">
        <f t="shared" ref="G68:K68" si="56">INDEX(G$4:G$17,$A68)</f>
        <v>5</v>
      </c>
      <c r="H68" s="27">
        <f t="shared" si="56"/>
        <v>1</v>
      </c>
      <c r="I68" s="27">
        <f t="shared" si="56"/>
        <v>2</v>
      </c>
      <c r="J68" s="27">
        <f t="shared" si="56"/>
        <v>6</v>
      </c>
      <c r="K68" s="27">
        <f t="shared" si="56"/>
        <v>0</v>
      </c>
      <c r="L68" s="27" t="str">
        <f>L$32</f>
        <v>tours</v>
      </c>
      <c r="M68" s="27">
        <f t="shared" ref="M68:U68" si="57">CEILING(($J68-$K68)/(M$25-$I68-$K68), 1)</f>
        <v>6</v>
      </c>
      <c r="N68" s="27">
        <f t="shared" si="57"/>
        <v>3</v>
      </c>
      <c r="O68" s="27">
        <f t="shared" si="57"/>
        <v>6</v>
      </c>
      <c r="P68" s="27">
        <f t="shared" si="57"/>
        <v>2</v>
      </c>
      <c r="Q68" s="27">
        <f t="shared" si="57"/>
        <v>2</v>
      </c>
      <c r="R68" s="27">
        <f t="shared" si="57"/>
        <v>6</v>
      </c>
      <c r="S68" s="27">
        <f t="shared" si="57"/>
        <v>3</v>
      </c>
      <c r="T68" s="27">
        <f t="shared" si="57"/>
        <v>2</v>
      </c>
      <c r="U68" s="27">
        <f t="shared" si="57"/>
        <v>2</v>
      </c>
      <c r="V68" s="32"/>
      <c r="W68" s="32"/>
      <c r="X68" s="27">
        <f>$E68</f>
        <v>6</v>
      </c>
    </row>
    <row r="69">
      <c r="L69" s="10" t="str">
        <f>L$33</f>
        <v>PV perdus</v>
      </c>
      <c r="M69" s="10">
        <f t="shared" ref="M69:U69" si="58">M68*MAX($H68,$G68-M$26+$H68-M$28)</f>
        <v>18</v>
      </c>
      <c r="N69" s="10">
        <f t="shared" si="58"/>
        <v>9</v>
      </c>
      <c r="O69" s="10">
        <f t="shared" si="58"/>
        <v>12</v>
      </c>
      <c r="P69" s="10">
        <f t="shared" si="58"/>
        <v>6</v>
      </c>
      <c r="Q69" s="10">
        <f t="shared" si="58"/>
        <v>2</v>
      </c>
      <c r="R69" s="10">
        <f t="shared" si="58"/>
        <v>6</v>
      </c>
      <c r="S69" s="10">
        <f t="shared" si="58"/>
        <v>3</v>
      </c>
      <c r="T69" s="10">
        <f t="shared" si="58"/>
        <v>2</v>
      </c>
      <c r="U69" s="10">
        <f t="shared" si="58"/>
        <v>2</v>
      </c>
      <c r="V69" s="65"/>
    </row>
    <row r="70">
      <c r="A70" s="20"/>
      <c r="B70" s="20"/>
      <c r="C70" s="20"/>
      <c r="D70" s="20"/>
      <c r="E70" s="20"/>
      <c r="F70" s="20"/>
      <c r="G70" s="20"/>
      <c r="H70" s="20"/>
      <c r="I70" s="20"/>
      <c r="J70" s="20"/>
      <c r="K70" s="20"/>
      <c r="L70" s="21" t="str">
        <f>L$34</f>
        <v>victoire</v>
      </c>
      <c r="M70" s="21">
        <f t="shared" ref="M70:U70" si="59">IF(ISNUMBER(M69),IF(M69&lt;M$27, 1, 0), 0)</f>
        <v>0</v>
      </c>
      <c r="N70" s="21">
        <f t="shared" si="59"/>
        <v>1</v>
      </c>
      <c r="O70" s="21">
        <f t="shared" si="59"/>
        <v>0</v>
      </c>
      <c r="P70" s="21">
        <f t="shared" si="59"/>
        <v>1</v>
      </c>
      <c r="Q70" s="21">
        <f t="shared" si="59"/>
        <v>1</v>
      </c>
      <c r="R70" s="21">
        <f t="shared" si="59"/>
        <v>1</v>
      </c>
      <c r="S70" s="21">
        <f t="shared" si="59"/>
        <v>1</v>
      </c>
      <c r="T70" s="21">
        <f t="shared" si="59"/>
        <v>1</v>
      </c>
      <c r="U70" s="21">
        <f t="shared" si="59"/>
        <v>1</v>
      </c>
      <c r="V70" s="66">
        <f>SUM(M70:U70)/COUNT(M70:U70)</f>
        <v>0.7777777778</v>
      </c>
      <c r="W70" s="21">
        <f>7-CEILING(V70*6,1)</f>
        <v>2</v>
      </c>
      <c r="X70" s="20"/>
    </row>
    <row r="71">
      <c r="A71" s="27">
        <f>1+(ROW(B71)-ROW(B$32))/$A$31</f>
        <v>14</v>
      </c>
      <c r="B71" s="27" t="str">
        <f t="array" ref="B71">INDEX(B$4:B$17,$A71)</f>
        <v>Vampire</v>
      </c>
      <c r="C71" s="32"/>
      <c r="D71" s="32"/>
      <c r="E71" s="27">
        <f t="array" ref="E71">INDEX(E$4:E$17,$A71)</f>
        <v>6</v>
      </c>
      <c r="F71" s="32"/>
      <c r="G71" s="27">
        <f t="shared" ref="G71:K71" si="60">INDEX(G$4:G$17,$A71)</f>
        <v>5</v>
      </c>
      <c r="H71" s="27">
        <f t="shared" si="60"/>
        <v>1</v>
      </c>
      <c r="I71" s="27">
        <f t="shared" si="60"/>
        <v>3</v>
      </c>
      <c r="J71" s="27">
        <f t="shared" si="60"/>
        <v>8</v>
      </c>
      <c r="K71" s="27">
        <f t="shared" si="60"/>
        <v>1</v>
      </c>
      <c r="L71" s="27" t="str">
        <f>L$32</f>
        <v>tours</v>
      </c>
      <c r="M71" s="27">
        <f t="shared" ref="M71:U71" si="61">CEILING(($J71-$K71)/(M$25-$I71-$K71), 1)</f>
        <v>-7</v>
      </c>
      <c r="N71" s="27" t="str">
        <f t="shared" si="61"/>
        <v>#DIV/0!</v>
      </c>
      <c r="O71" s="27">
        <f t="shared" si="61"/>
        <v>-7</v>
      </c>
      <c r="P71" s="27">
        <f t="shared" si="61"/>
        <v>7</v>
      </c>
      <c r="Q71" s="27">
        <f t="shared" si="61"/>
        <v>7</v>
      </c>
      <c r="R71" s="27">
        <f t="shared" si="61"/>
        <v>-7</v>
      </c>
      <c r="S71" s="27" t="str">
        <f t="shared" si="61"/>
        <v>#DIV/0!</v>
      </c>
      <c r="T71" s="27">
        <f t="shared" si="61"/>
        <v>7</v>
      </c>
      <c r="U71" s="27">
        <f t="shared" si="61"/>
        <v>4</v>
      </c>
      <c r="V71" s="32"/>
      <c r="W71" s="32"/>
      <c r="X71" s="27">
        <f>$E71</f>
        <v>6</v>
      </c>
    </row>
    <row r="72">
      <c r="L72" s="10" t="str">
        <f>L$33</f>
        <v>PV perdus</v>
      </c>
      <c r="M72" s="10">
        <f t="shared" ref="M72:U72" si="62">M71*MAX($H71,$G71-M$26+$H71-M$28)</f>
        <v>-21</v>
      </c>
      <c r="N72" s="10" t="str">
        <f t="shared" si="62"/>
        <v>#DIV/0!</v>
      </c>
      <c r="O72" s="10">
        <f t="shared" si="62"/>
        <v>-14</v>
      </c>
      <c r="P72" s="10">
        <f t="shared" si="62"/>
        <v>21</v>
      </c>
      <c r="Q72" s="10">
        <f t="shared" si="62"/>
        <v>7</v>
      </c>
      <c r="R72" s="10">
        <f t="shared" si="62"/>
        <v>-7</v>
      </c>
      <c r="S72" s="10" t="str">
        <f t="shared" si="62"/>
        <v>#DIV/0!</v>
      </c>
      <c r="T72" s="10">
        <f t="shared" si="62"/>
        <v>7</v>
      </c>
      <c r="U72" s="10">
        <f t="shared" si="62"/>
        <v>4</v>
      </c>
      <c r="V72" s="65"/>
    </row>
    <row r="73">
      <c r="L73" s="10" t="str">
        <f>L$34</f>
        <v>victoire</v>
      </c>
      <c r="M73" s="10">
        <f t="shared" ref="M73:U73" si="63">IF(ISNUMBER(M72),IF(M72&lt;M$27, 1, 0), 0)</f>
        <v>1</v>
      </c>
      <c r="N73" s="10">
        <f t="shared" si="63"/>
        <v>0</v>
      </c>
      <c r="O73" s="10">
        <f t="shared" si="63"/>
        <v>1</v>
      </c>
      <c r="P73" s="10">
        <f t="shared" si="63"/>
        <v>0</v>
      </c>
      <c r="Q73" s="10">
        <f t="shared" si="63"/>
        <v>1</v>
      </c>
      <c r="R73" s="10">
        <f t="shared" si="63"/>
        <v>1</v>
      </c>
      <c r="S73" s="10">
        <f t="shared" si="63"/>
        <v>0</v>
      </c>
      <c r="T73" s="10">
        <f t="shared" si="63"/>
        <v>1</v>
      </c>
      <c r="U73" s="10">
        <f t="shared" si="63"/>
        <v>1</v>
      </c>
      <c r="V73" s="69">
        <f>SUM(M73:U73)/COUNT(M73:U73)</f>
        <v>0.6666666667</v>
      </c>
      <c r="W73" s="10">
        <f>7-CEILING(V73*6,1)</f>
        <v>3</v>
      </c>
    </row>
  </sheetData>
  <mergeCells count="8">
    <mergeCell ref="M6:S6"/>
    <mergeCell ref="M7:S7"/>
    <mergeCell ref="M9:S9"/>
    <mergeCell ref="M10:S10"/>
    <mergeCell ref="M13:S13"/>
    <mergeCell ref="M16:Q16"/>
    <mergeCell ref="M17:S17"/>
    <mergeCell ref="W31:X3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43"/>
    <col customWidth="1" min="2" max="2" width="6.29"/>
    <col customWidth="1" min="3" max="3" width="14.14"/>
    <col customWidth="1" min="4" max="4" width="7.71"/>
    <col customWidth="1" min="5" max="5" width="7.57"/>
    <col customWidth="1" min="6" max="6" width="6.71"/>
    <col customWidth="1" min="7" max="7" width="5.71"/>
    <col customWidth="1" min="8" max="8" width="8.0"/>
    <col customWidth="1" min="9" max="9" width="30.71"/>
    <col customWidth="1" min="10" max="20" width="17.29"/>
  </cols>
  <sheetData>
    <row r="1">
      <c r="A1" s="72" t="str">
        <f>IFERROR(__xludf.DUMMYFUNCTION("ImportHtml(""http://j2s-pendragon.wikia.com/wiki/Narrative_Arcs_Building"", ""table"", 2)"),"#N/A")</f>
        <v>#N/A</v>
      </c>
      <c r="B1" s="72"/>
      <c r="C1" s="72"/>
      <c r="D1" s="72"/>
      <c r="E1" s="72"/>
      <c r="F1" s="72"/>
      <c r="G1" s="72"/>
      <c r="H1" s="72"/>
      <c r="I1" s="72"/>
      <c r="J1" s="14"/>
      <c r="K1" s="14"/>
      <c r="L1" s="14"/>
      <c r="M1" s="14"/>
      <c r="N1" s="14"/>
      <c r="O1" s="14"/>
      <c r="P1" s="14"/>
      <c r="Q1" s="14"/>
      <c r="R1" s="14"/>
      <c r="S1" s="14"/>
      <c r="T1" s="14"/>
    </row>
    <row r="2">
      <c r="A2" s="10"/>
      <c r="B2" s="10"/>
      <c r="C2" s="10"/>
      <c r="D2" s="10"/>
      <c r="E2" s="10"/>
      <c r="F2" s="10"/>
      <c r="G2" s="10"/>
      <c r="H2" s="10"/>
      <c r="I2" s="10"/>
    </row>
    <row r="3">
      <c r="A3" s="10"/>
      <c r="B3" s="10"/>
      <c r="C3" s="10"/>
      <c r="D3" s="10"/>
      <c r="E3" s="10"/>
      <c r="F3" s="10"/>
      <c r="G3" s="10"/>
      <c r="H3" s="10"/>
      <c r="I3" s="10"/>
    </row>
    <row r="4">
      <c r="A4" s="10"/>
      <c r="B4" s="10"/>
      <c r="C4" s="10"/>
      <c r="D4" s="10"/>
      <c r="E4" s="10"/>
      <c r="F4" s="10"/>
      <c r="G4" s="10"/>
      <c r="H4" s="10"/>
      <c r="I4" s="10"/>
    </row>
    <row r="5">
      <c r="A5" s="10"/>
      <c r="B5" s="10"/>
      <c r="C5" s="10"/>
      <c r="D5" s="10"/>
      <c r="E5" s="10"/>
      <c r="F5" s="10"/>
      <c r="G5" s="10"/>
      <c r="H5" s="10"/>
      <c r="I5" s="10"/>
    </row>
    <row r="6">
      <c r="A6" s="10"/>
      <c r="B6" s="10"/>
      <c r="C6" s="10"/>
      <c r="D6" s="10"/>
      <c r="E6" s="10"/>
      <c r="F6" s="10"/>
      <c r="G6" s="10"/>
      <c r="H6" s="10"/>
      <c r="I6" s="10"/>
    </row>
    <row r="7">
      <c r="A7" s="10"/>
      <c r="B7" s="10"/>
      <c r="C7" s="10"/>
      <c r="D7" s="10"/>
      <c r="E7" s="10"/>
      <c r="F7" s="10"/>
      <c r="G7" s="10"/>
      <c r="H7" s="10"/>
      <c r="I7" s="10"/>
    </row>
    <row r="8">
      <c r="A8" s="10"/>
      <c r="B8" s="10"/>
      <c r="C8" s="10"/>
      <c r="D8" s="10"/>
      <c r="E8" s="10"/>
      <c r="F8" s="10"/>
      <c r="G8" s="10"/>
      <c r="H8" s="10"/>
      <c r="I8" s="10"/>
    </row>
    <row r="9">
      <c r="A9" s="10"/>
      <c r="B9" s="10"/>
      <c r="C9" s="10"/>
      <c r="D9" s="10"/>
      <c r="E9" s="10"/>
      <c r="F9" s="10"/>
      <c r="G9" s="10"/>
      <c r="H9" s="10"/>
      <c r="I9" s="10"/>
    </row>
    <row r="10">
      <c r="A10" s="10"/>
      <c r="B10" s="10"/>
      <c r="C10" s="10"/>
      <c r="D10" s="10"/>
      <c r="E10" s="10"/>
      <c r="F10" s="10"/>
      <c r="G10" s="10"/>
      <c r="H10" s="10"/>
      <c r="I10" s="10"/>
    </row>
    <row r="11">
      <c r="A11" s="10"/>
      <c r="B11" s="10"/>
      <c r="C11" s="10"/>
      <c r="D11" s="10"/>
      <c r="E11" s="10"/>
      <c r="F11" s="10"/>
      <c r="G11" s="10"/>
      <c r="H11" s="10"/>
      <c r="I11" s="10"/>
    </row>
    <row r="12">
      <c r="A12" s="10"/>
      <c r="B12" s="10"/>
      <c r="C12" s="10"/>
      <c r="D12" s="10"/>
      <c r="E12" s="10"/>
      <c r="F12" s="10"/>
      <c r="G12" s="10"/>
      <c r="H12" s="10"/>
      <c r="I12" s="10"/>
    </row>
    <row r="13">
      <c r="A13" s="10"/>
      <c r="B13" s="10"/>
      <c r="C13" s="10"/>
      <c r="D13" s="10"/>
      <c r="E13" s="10"/>
      <c r="F13" s="10"/>
      <c r="G13" s="10"/>
      <c r="H13" s="10"/>
      <c r="I13" s="10"/>
    </row>
    <row r="14">
      <c r="A14" s="10"/>
      <c r="B14" s="10"/>
      <c r="C14" s="10"/>
      <c r="D14" s="10"/>
      <c r="E14" s="10"/>
      <c r="F14" s="10"/>
      <c r="G14" s="10"/>
      <c r="H14" s="10"/>
      <c r="I14" s="10"/>
    </row>
    <row r="15">
      <c r="A15" s="10"/>
      <c r="B15" s="10"/>
      <c r="C15" s="10"/>
      <c r="D15" s="10"/>
      <c r="E15" s="10"/>
      <c r="F15" s="10"/>
      <c r="G15" s="10"/>
      <c r="H15" s="10"/>
      <c r="I15" s="10"/>
    </row>
    <row r="16">
      <c r="A16" s="10"/>
      <c r="B16" s="10"/>
      <c r="C16" s="10"/>
      <c r="D16" s="10"/>
      <c r="E16" s="10"/>
      <c r="F16" s="10"/>
      <c r="G16" s="10"/>
      <c r="H16" s="10"/>
      <c r="I16" s="10"/>
    </row>
    <row r="17">
      <c r="A17" s="10"/>
      <c r="B17" s="10"/>
      <c r="C17" s="10"/>
      <c r="D17" s="10"/>
      <c r="E17" s="10"/>
      <c r="F17" s="10"/>
      <c r="G17" s="10"/>
      <c r="H17" s="10"/>
      <c r="I17" s="10"/>
    </row>
    <row r="19">
      <c r="B19" s="10">
        <f>SUM(B4:B17)</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3" width="17.29"/>
    <col customWidth="1" min="4" max="4" width="7.29"/>
    <col customWidth="1" min="5" max="5" width="9.29"/>
    <col customWidth="1" min="6" max="6" width="11.14"/>
    <col customWidth="1" min="7" max="7" width="11.29"/>
    <col customWidth="1" min="8" max="23" width="17.29"/>
  </cols>
  <sheetData>
    <row r="1">
      <c r="B1" s="9" t="s">
        <v>267</v>
      </c>
      <c r="C1" s="9" t="s">
        <v>268</v>
      </c>
      <c r="D1" s="9">
        <v>0.0</v>
      </c>
      <c r="E1" s="9">
        <v>1.0</v>
      </c>
      <c r="F1" s="9" t="s">
        <v>269</v>
      </c>
      <c r="G1" s="9" t="s">
        <v>269</v>
      </c>
      <c r="H1" s="9" t="s">
        <v>270</v>
      </c>
      <c r="I1" s="9" t="s">
        <v>271</v>
      </c>
      <c r="J1" s="9" t="s">
        <v>272</v>
      </c>
      <c r="K1" s="9" t="s">
        <v>273</v>
      </c>
      <c r="L1" s="9" t="s">
        <v>274</v>
      </c>
      <c r="M1" s="9" t="s">
        <v>275</v>
      </c>
      <c r="N1" s="9" t="s">
        <v>275</v>
      </c>
      <c r="O1" s="9" t="s">
        <v>275</v>
      </c>
      <c r="P1" s="9" t="s">
        <v>276</v>
      </c>
      <c r="Q1" s="9" t="s">
        <v>277</v>
      </c>
      <c r="R1" s="9" t="s">
        <v>275</v>
      </c>
      <c r="T1" s="9" t="s">
        <v>278</v>
      </c>
      <c r="U1" s="9" t="s">
        <v>278</v>
      </c>
      <c r="V1" s="9" t="s">
        <v>279</v>
      </c>
      <c r="W1" s="9">
        <v>6.0</v>
      </c>
    </row>
    <row r="2">
      <c r="A2" s="9">
        <v>40.0</v>
      </c>
      <c r="B2" s="9" t="s">
        <v>280</v>
      </c>
      <c r="C2" s="9" t="s">
        <v>281</v>
      </c>
      <c r="D2" s="9">
        <v>1.0</v>
      </c>
      <c r="E2" s="9">
        <v>1.0</v>
      </c>
      <c r="G2" s="9" t="s">
        <v>269</v>
      </c>
      <c r="H2" s="9" t="s">
        <v>282</v>
      </c>
      <c r="I2" s="9" t="s">
        <v>269</v>
      </c>
      <c r="J2" s="9" t="s">
        <v>132</v>
      </c>
      <c r="K2" s="9" t="s">
        <v>132</v>
      </c>
      <c r="L2" s="9" t="s">
        <v>283</v>
      </c>
      <c r="M2" s="9" t="s">
        <v>284</v>
      </c>
      <c r="N2" s="9" t="s">
        <v>284</v>
      </c>
      <c r="O2" s="9" t="s">
        <v>285</v>
      </c>
      <c r="P2" s="9" t="s">
        <v>284</v>
      </c>
      <c r="Q2" s="9" t="s">
        <v>277</v>
      </c>
      <c r="R2" s="9" t="s">
        <v>286</v>
      </c>
      <c r="W2" s="9">
        <v>14.0</v>
      </c>
    </row>
    <row r="3">
      <c r="A3" s="9">
        <v>138.0</v>
      </c>
      <c r="B3" s="9" t="s">
        <v>287</v>
      </c>
      <c r="C3" s="9" t="s">
        <v>288</v>
      </c>
      <c r="D3" s="9">
        <v>1.0</v>
      </c>
      <c r="E3" s="9">
        <v>1.0</v>
      </c>
      <c r="G3" s="9" t="s">
        <v>269</v>
      </c>
      <c r="H3" s="9" t="s">
        <v>289</v>
      </c>
      <c r="I3" s="9" t="s">
        <v>271</v>
      </c>
      <c r="J3" s="9" t="s">
        <v>132</v>
      </c>
      <c r="K3" s="9" t="s">
        <v>290</v>
      </c>
      <c r="L3" s="9" t="s">
        <v>291</v>
      </c>
      <c r="M3" s="9" t="s">
        <v>292</v>
      </c>
      <c r="N3" s="9" t="s">
        <v>292</v>
      </c>
      <c r="O3" s="9" t="s">
        <v>293</v>
      </c>
      <c r="P3" s="9" t="s">
        <v>285</v>
      </c>
      <c r="Q3" s="9" t="s">
        <v>277</v>
      </c>
      <c r="R3" s="9" t="s">
        <v>275</v>
      </c>
      <c r="W3" s="9">
        <v>17.0</v>
      </c>
    </row>
    <row r="4">
      <c r="A4" s="9">
        <v>6.0</v>
      </c>
      <c r="B4" s="9" t="s">
        <v>82</v>
      </c>
      <c r="C4" s="9" t="s">
        <v>294</v>
      </c>
      <c r="D4" s="9">
        <v>1.0</v>
      </c>
      <c r="E4" s="9">
        <v>1.0</v>
      </c>
      <c r="F4" s="9" t="s">
        <v>269</v>
      </c>
      <c r="G4" s="9" t="s">
        <v>269</v>
      </c>
      <c r="H4" s="9" t="s">
        <v>282</v>
      </c>
      <c r="I4" s="9" t="s">
        <v>271</v>
      </c>
      <c r="J4" s="9" t="s">
        <v>132</v>
      </c>
      <c r="K4" s="9" t="s">
        <v>132</v>
      </c>
      <c r="L4" s="9" t="s">
        <v>291</v>
      </c>
      <c r="M4" s="9" t="s">
        <v>276</v>
      </c>
      <c r="N4" s="9" t="s">
        <v>276</v>
      </c>
      <c r="O4" s="9" t="s">
        <v>276</v>
      </c>
      <c r="P4" s="9" t="s">
        <v>284</v>
      </c>
      <c r="Q4" s="9" t="s">
        <v>277</v>
      </c>
      <c r="R4" s="9" t="s">
        <v>284</v>
      </c>
      <c r="T4" s="9" t="s">
        <v>295</v>
      </c>
      <c r="U4" s="9" t="s">
        <v>296</v>
      </c>
      <c r="V4" s="9" t="s">
        <v>297</v>
      </c>
      <c r="W4" s="9">
        <v>51.0</v>
      </c>
    </row>
    <row r="5">
      <c r="A5" s="9">
        <v>15.0</v>
      </c>
      <c r="B5" s="9" t="s">
        <v>298</v>
      </c>
      <c r="C5" s="9" t="s">
        <v>268</v>
      </c>
      <c r="D5" s="9">
        <v>2.0</v>
      </c>
      <c r="E5" s="9">
        <v>1.0</v>
      </c>
      <c r="G5" s="9" t="s">
        <v>269</v>
      </c>
      <c r="H5" s="9" t="s">
        <v>270</v>
      </c>
      <c r="I5" s="9" t="s">
        <v>269</v>
      </c>
      <c r="J5" s="9" t="s">
        <v>299</v>
      </c>
      <c r="K5" s="9" t="s">
        <v>132</v>
      </c>
      <c r="L5" s="9" t="s">
        <v>300</v>
      </c>
      <c r="M5" s="9" t="s">
        <v>285</v>
      </c>
      <c r="N5" s="9" t="s">
        <v>285</v>
      </c>
      <c r="O5" s="9" t="s">
        <v>276</v>
      </c>
      <c r="P5" s="9" t="s">
        <v>276</v>
      </c>
      <c r="Q5" s="9" t="s">
        <v>277</v>
      </c>
      <c r="R5" s="9" t="s">
        <v>275</v>
      </c>
      <c r="U5" s="9" t="s">
        <v>301</v>
      </c>
      <c r="W5" s="9">
        <v>22.0</v>
      </c>
    </row>
    <row r="6">
      <c r="A6" s="9">
        <v>87.0</v>
      </c>
      <c r="B6" s="9" t="s">
        <v>302</v>
      </c>
      <c r="C6" s="9" t="s">
        <v>281</v>
      </c>
      <c r="D6" s="9">
        <v>2.0</v>
      </c>
      <c r="E6" s="9">
        <v>1.0</v>
      </c>
      <c r="F6" s="9" t="s">
        <v>269</v>
      </c>
      <c r="G6" s="9" t="s">
        <v>269</v>
      </c>
      <c r="H6" s="9" t="s">
        <v>270</v>
      </c>
      <c r="I6" s="9" t="s">
        <v>269</v>
      </c>
      <c r="J6" s="9" t="s">
        <v>132</v>
      </c>
      <c r="K6" s="9" t="s">
        <v>132</v>
      </c>
      <c r="L6" s="9" t="s">
        <v>303</v>
      </c>
      <c r="M6" s="9" t="s">
        <v>284</v>
      </c>
      <c r="N6" s="9" t="s">
        <v>304</v>
      </c>
      <c r="O6" s="9" t="s">
        <v>275</v>
      </c>
      <c r="P6" s="9" t="s">
        <v>285</v>
      </c>
      <c r="Q6" s="9" t="s">
        <v>277</v>
      </c>
      <c r="R6" s="9" t="s">
        <v>284</v>
      </c>
      <c r="T6" s="9" t="s">
        <v>296</v>
      </c>
      <c r="U6" s="9" t="s">
        <v>296</v>
      </c>
      <c r="V6" s="9" t="s">
        <v>305</v>
      </c>
      <c r="W6" s="9">
        <v>46.0</v>
      </c>
    </row>
    <row r="7">
      <c r="A7" s="9">
        <v>126.0</v>
      </c>
      <c r="B7" s="9" t="s">
        <v>306</v>
      </c>
      <c r="C7" s="9" t="s">
        <v>281</v>
      </c>
      <c r="D7" s="9">
        <v>2.0</v>
      </c>
      <c r="E7" s="9">
        <v>1.0</v>
      </c>
      <c r="G7" s="9" t="s">
        <v>269</v>
      </c>
      <c r="H7" s="9" t="s">
        <v>270</v>
      </c>
      <c r="I7" s="9" t="s">
        <v>269</v>
      </c>
      <c r="J7" s="9" t="s">
        <v>132</v>
      </c>
      <c r="K7" s="9" t="s">
        <v>132</v>
      </c>
      <c r="L7" s="9" t="s">
        <v>307</v>
      </c>
      <c r="M7" s="9" t="s">
        <v>284</v>
      </c>
      <c r="N7" s="9" t="s">
        <v>308</v>
      </c>
      <c r="O7" s="9" t="s">
        <v>275</v>
      </c>
      <c r="P7" s="9" t="s">
        <v>284</v>
      </c>
      <c r="Q7" s="9" t="s">
        <v>277</v>
      </c>
      <c r="R7" s="9" t="s">
        <v>275</v>
      </c>
      <c r="T7" s="9" t="s">
        <v>301</v>
      </c>
      <c r="U7" s="9" t="s">
        <v>301</v>
      </c>
      <c r="V7" s="9" t="s">
        <v>309</v>
      </c>
      <c r="W7" s="9">
        <v>20.0</v>
      </c>
    </row>
    <row r="8">
      <c r="A8" s="9">
        <v>128.0</v>
      </c>
      <c r="B8" s="9" t="s">
        <v>310</v>
      </c>
      <c r="C8" s="9" t="s">
        <v>294</v>
      </c>
      <c r="D8" s="9">
        <v>2.0</v>
      </c>
      <c r="E8" s="9">
        <v>1.0</v>
      </c>
      <c r="F8" s="9" t="s">
        <v>271</v>
      </c>
      <c r="G8" s="9" t="s">
        <v>269</v>
      </c>
      <c r="H8" s="9" t="s">
        <v>270</v>
      </c>
      <c r="I8" s="9" t="s">
        <v>271</v>
      </c>
      <c r="J8" s="9" t="s">
        <v>311</v>
      </c>
      <c r="K8" s="9" t="s">
        <v>132</v>
      </c>
      <c r="L8" s="9" t="s">
        <v>312</v>
      </c>
      <c r="M8" s="9" t="s">
        <v>285</v>
      </c>
      <c r="N8" s="9" t="s">
        <v>285</v>
      </c>
      <c r="O8" s="9" t="s">
        <v>285</v>
      </c>
      <c r="P8" s="9" t="s">
        <v>276</v>
      </c>
      <c r="Q8" s="9" t="s">
        <v>277</v>
      </c>
      <c r="R8" s="9" t="s">
        <v>275</v>
      </c>
      <c r="T8" s="9" t="s">
        <v>278</v>
      </c>
      <c r="U8" s="9" t="s">
        <v>278</v>
      </c>
      <c r="V8" s="9" t="s">
        <v>286</v>
      </c>
      <c r="W8" s="9">
        <v>19.0</v>
      </c>
    </row>
    <row r="9">
      <c r="A9" s="9">
        <v>9.0</v>
      </c>
      <c r="B9" s="9" t="s">
        <v>313</v>
      </c>
      <c r="C9" s="9" t="s">
        <v>288</v>
      </c>
      <c r="D9" s="9">
        <v>2.0</v>
      </c>
      <c r="E9" s="9">
        <v>1.0</v>
      </c>
      <c r="F9" s="9" t="s">
        <v>269</v>
      </c>
      <c r="G9" s="9" t="s">
        <v>269</v>
      </c>
      <c r="H9" s="9" t="s">
        <v>270</v>
      </c>
      <c r="I9" s="9" t="s">
        <v>269</v>
      </c>
      <c r="J9" s="9" t="s">
        <v>132</v>
      </c>
      <c r="K9" s="9" t="s">
        <v>132</v>
      </c>
      <c r="L9" s="9" t="s">
        <v>314</v>
      </c>
      <c r="M9" s="9" t="s">
        <v>315</v>
      </c>
      <c r="N9" s="9" t="s">
        <v>285</v>
      </c>
      <c r="O9" s="9" t="s">
        <v>315</v>
      </c>
      <c r="P9" s="9" t="s">
        <v>284</v>
      </c>
      <c r="Q9" s="9" t="s">
        <v>277</v>
      </c>
      <c r="R9" s="9" t="s">
        <v>277</v>
      </c>
      <c r="T9" s="9" t="s">
        <v>296</v>
      </c>
      <c r="U9" s="9" t="s">
        <v>296</v>
      </c>
      <c r="V9" s="9" t="s">
        <v>316</v>
      </c>
      <c r="W9" s="9">
        <v>58.0</v>
      </c>
    </row>
    <row r="10">
      <c r="A10" s="9">
        <v>127.0</v>
      </c>
      <c r="B10" s="9" t="s">
        <v>317</v>
      </c>
      <c r="C10" s="9" t="s">
        <v>268</v>
      </c>
      <c r="D10" s="9">
        <v>2.0</v>
      </c>
      <c r="E10" s="9">
        <v>1.0</v>
      </c>
      <c r="F10" s="9" t="s">
        <v>269</v>
      </c>
      <c r="G10" s="9" t="s">
        <v>269</v>
      </c>
      <c r="H10" s="9" t="s">
        <v>270</v>
      </c>
      <c r="I10" s="9" t="s">
        <v>269</v>
      </c>
      <c r="J10" s="9" t="s">
        <v>318</v>
      </c>
      <c r="K10" s="9" t="s">
        <v>319</v>
      </c>
      <c r="L10" s="9" t="s">
        <v>320</v>
      </c>
      <c r="M10" s="9" t="s">
        <v>304</v>
      </c>
      <c r="N10" s="9" t="s">
        <v>284</v>
      </c>
      <c r="O10" s="9" t="s">
        <v>284</v>
      </c>
      <c r="P10" s="9" t="s">
        <v>276</v>
      </c>
      <c r="Q10" s="9" t="s">
        <v>277</v>
      </c>
      <c r="R10" s="9" t="s">
        <v>275</v>
      </c>
      <c r="T10" s="9" t="s">
        <v>296</v>
      </c>
      <c r="U10" s="9" t="s">
        <v>296</v>
      </c>
      <c r="V10" s="9" t="s">
        <v>305</v>
      </c>
      <c r="W10" s="9">
        <v>53.0</v>
      </c>
    </row>
    <row r="11">
      <c r="A11" s="9">
        <v>7.0</v>
      </c>
      <c r="B11" s="9" t="s">
        <v>88</v>
      </c>
      <c r="C11" s="9" t="s">
        <v>294</v>
      </c>
      <c r="D11" s="9">
        <v>2.0</v>
      </c>
      <c r="E11" s="9">
        <v>1.0</v>
      </c>
      <c r="F11" s="9" t="s">
        <v>269</v>
      </c>
      <c r="G11" s="9" t="s">
        <v>269</v>
      </c>
      <c r="H11" s="9" t="s">
        <v>282</v>
      </c>
      <c r="I11" s="9" t="s">
        <v>271</v>
      </c>
      <c r="J11" s="9" t="s">
        <v>132</v>
      </c>
      <c r="K11" s="9" t="s">
        <v>132</v>
      </c>
      <c r="L11" s="9" t="s">
        <v>291</v>
      </c>
      <c r="M11" s="9" t="s">
        <v>276</v>
      </c>
      <c r="N11" s="9" t="s">
        <v>276</v>
      </c>
      <c r="O11" s="9" t="s">
        <v>285</v>
      </c>
      <c r="P11" s="9" t="s">
        <v>284</v>
      </c>
      <c r="Q11" s="9" t="s">
        <v>321</v>
      </c>
      <c r="R11" s="9" t="s">
        <v>284</v>
      </c>
      <c r="W11" s="9">
        <v>17.0</v>
      </c>
    </row>
    <row r="12">
      <c r="A12" s="9">
        <v>158.0</v>
      </c>
      <c r="B12" s="9" t="s">
        <v>322</v>
      </c>
      <c r="C12" s="9" t="s">
        <v>281</v>
      </c>
      <c r="D12" s="9">
        <v>3.0</v>
      </c>
      <c r="E12" s="9">
        <v>1.0</v>
      </c>
      <c r="G12" s="9" t="s">
        <v>269</v>
      </c>
      <c r="H12" s="9" t="s">
        <v>289</v>
      </c>
      <c r="I12" s="9" t="s">
        <v>269</v>
      </c>
      <c r="J12" s="9" t="s">
        <v>132</v>
      </c>
      <c r="K12" s="9" t="s">
        <v>132</v>
      </c>
      <c r="L12" s="9" t="s">
        <v>323</v>
      </c>
      <c r="M12" s="9" t="s">
        <v>276</v>
      </c>
      <c r="N12" s="9" t="s">
        <v>324</v>
      </c>
      <c r="O12" s="9" t="s">
        <v>276</v>
      </c>
      <c r="P12" s="9" t="s">
        <v>285</v>
      </c>
      <c r="Q12" s="9" t="s">
        <v>277</v>
      </c>
      <c r="R12" s="9" t="s">
        <v>275</v>
      </c>
      <c r="T12" s="9" t="s">
        <v>325</v>
      </c>
      <c r="U12" s="9" t="s">
        <v>296</v>
      </c>
      <c r="V12" s="9" t="s">
        <v>326</v>
      </c>
      <c r="W12" s="9">
        <v>24.0</v>
      </c>
    </row>
    <row r="13">
      <c r="A13" s="9">
        <v>118.0</v>
      </c>
      <c r="B13" s="9" t="s">
        <v>327</v>
      </c>
      <c r="C13" s="9" t="s">
        <v>281</v>
      </c>
      <c r="D13" s="9">
        <v>3.0</v>
      </c>
      <c r="E13" s="9">
        <v>1.0</v>
      </c>
      <c r="G13" s="9" t="s">
        <v>271</v>
      </c>
      <c r="H13" s="9" t="s">
        <v>270</v>
      </c>
      <c r="I13" s="9" t="s">
        <v>271</v>
      </c>
      <c r="J13" s="9" t="s">
        <v>328</v>
      </c>
      <c r="K13" s="9" t="s">
        <v>132</v>
      </c>
      <c r="L13" s="9" t="s">
        <v>320</v>
      </c>
      <c r="M13" s="9" t="s">
        <v>304</v>
      </c>
      <c r="N13" s="9" t="s">
        <v>292</v>
      </c>
      <c r="O13" s="9" t="s">
        <v>292</v>
      </c>
      <c r="P13" s="9" t="s">
        <v>276</v>
      </c>
      <c r="Q13" s="9" t="s">
        <v>321</v>
      </c>
      <c r="R13" s="9" t="s">
        <v>275</v>
      </c>
      <c r="T13" s="9" t="s">
        <v>329</v>
      </c>
      <c r="U13" s="9" t="s">
        <v>330</v>
      </c>
      <c r="V13" s="9" t="s">
        <v>331</v>
      </c>
      <c r="W13" s="9">
        <v>11.0</v>
      </c>
    </row>
    <row r="14">
      <c r="A14" s="9">
        <v>85.0</v>
      </c>
      <c r="B14" s="9" t="s">
        <v>332</v>
      </c>
      <c r="C14" s="9" t="s">
        <v>333</v>
      </c>
      <c r="D14" s="9">
        <v>3.0</v>
      </c>
      <c r="E14" s="9">
        <v>1.0</v>
      </c>
      <c r="G14" s="9" t="s">
        <v>269</v>
      </c>
      <c r="H14" s="9" t="s">
        <v>289</v>
      </c>
      <c r="I14" s="9" t="s">
        <v>269</v>
      </c>
      <c r="J14" s="9" t="s">
        <v>132</v>
      </c>
      <c r="K14" s="9" t="s">
        <v>132</v>
      </c>
      <c r="L14" s="9" t="s">
        <v>334</v>
      </c>
      <c r="M14" s="9" t="s">
        <v>285</v>
      </c>
      <c r="N14" s="9" t="s">
        <v>285</v>
      </c>
      <c r="O14" s="9" t="s">
        <v>285</v>
      </c>
      <c r="P14" s="9" t="s">
        <v>284</v>
      </c>
      <c r="Q14" s="9" t="s">
        <v>277</v>
      </c>
      <c r="R14" s="9" t="s">
        <v>286</v>
      </c>
      <c r="W14" s="9">
        <v>17.0</v>
      </c>
    </row>
    <row r="15">
      <c r="A15" s="9">
        <v>101.0</v>
      </c>
      <c r="B15" s="9" t="s">
        <v>335</v>
      </c>
      <c r="C15" s="9" t="s">
        <v>281</v>
      </c>
      <c r="D15" s="9">
        <v>3.0</v>
      </c>
      <c r="E15" s="9">
        <v>1.0</v>
      </c>
      <c r="F15" s="9" t="s">
        <v>269</v>
      </c>
      <c r="G15" s="9" t="s">
        <v>269</v>
      </c>
      <c r="H15" s="9" t="s">
        <v>289</v>
      </c>
      <c r="I15" s="9" t="s">
        <v>269</v>
      </c>
      <c r="J15" s="9" t="s">
        <v>132</v>
      </c>
      <c r="K15" s="9" t="s">
        <v>336</v>
      </c>
      <c r="L15" s="9" t="s">
        <v>337</v>
      </c>
      <c r="M15" s="9" t="s">
        <v>276</v>
      </c>
      <c r="N15" s="9" t="s">
        <v>324</v>
      </c>
      <c r="O15" s="9" t="s">
        <v>276</v>
      </c>
      <c r="P15" s="9" t="s">
        <v>285</v>
      </c>
      <c r="Q15" s="9" t="s">
        <v>277</v>
      </c>
      <c r="R15" s="9" t="s">
        <v>275</v>
      </c>
      <c r="T15" s="9" t="s">
        <v>278</v>
      </c>
      <c r="U15" s="9" t="s">
        <v>296</v>
      </c>
      <c r="V15" s="9" t="s">
        <v>338</v>
      </c>
      <c r="W15" s="9">
        <v>38.0</v>
      </c>
    </row>
    <row r="16">
      <c r="A16" s="9">
        <v>105.0</v>
      </c>
      <c r="B16" s="9" t="s">
        <v>339</v>
      </c>
      <c r="C16" s="9" t="s">
        <v>333</v>
      </c>
      <c r="D16" s="9">
        <v>3.0</v>
      </c>
      <c r="E16" s="9">
        <v>1.0</v>
      </c>
      <c r="G16" s="9" t="s">
        <v>269</v>
      </c>
      <c r="H16" s="9" t="s">
        <v>270</v>
      </c>
      <c r="I16" s="9" t="s">
        <v>269</v>
      </c>
      <c r="J16" s="9" t="s">
        <v>340</v>
      </c>
      <c r="K16" s="9" t="s">
        <v>341</v>
      </c>
      <c r="L16" s="9" t="s">
        <v>312</v>
      </c>
      <c r="M16" s="9" t="s">
        <v>324</v>
      </c>
      <c r="N16" s="9" t="s">
        <v>276</v>
      </c>
      <c r="O16" s="9" t="s">
        <v>285</v>
      </c>
      <c r="P16" s="9" t="s">
        <v>276</v>
      </c>
      <c r="Q16" s="9" t="s">
        <v>277</v>
      </c>
      <c r="R16" s="9" t="s">
        <v>275</v>
      </c>
      <c r="T16" s="9" t="s">
        <v>278</v>
      </c>
      <c r="U16" s="9" t="s">
        <v>296</v>
      </c>
      <c r="V16" s="9" t="s">
        <v>297</v>
      </c>
      <c r="W16" s="9">
        <v>18.0</v>
      </c>
    </row>
    <row r="17">
      <c r="A17" s="9">
        <v>3.0</v>
      </c>
      <c r="B17" s="9" t="s">
        <v>342</v>
      </c>
      <c r="C17" s="9" t="s">
        <v>281</v>
      </c>
      <c r="D17" s="9">
        <v>3.0</v>
      </c>
      <c r="E17" s="9">
        <v>1.0</v>
      </c>
      <c r="G17" s="9" t="s">
        <v>269</v>
      </c>
      <c r="H17" s="9" t="s">
        <v>270</v>
      </c>
      <c r="I17" s="9" t="s">
        <v>269</v>
      </c>
      <c r="J17" s="9" t="s">
        <v>132</v>
      </c>
      <c r="K17" s="9" t="s">
        <v>132</v>
      </c>
      <c r="L17" s="9" t="s">
        <v>300</v>
      </c>
      <c r="M17" s="9" t="s">
        <v>285</v>
      </c>
      <c r="N17" s="9" t="s">
        <v>276</v>
      </c>
      <c r="O17" s="9" t="s">
        <v>304</v>
      </c>
      <c r="P17" s="9" t="s">
        <v>276</v>
      </c>
      <c r="Q17" s="9" t="s">
        <v>277</v>
      </c>
      <c r="R17" s="9" t="s">
        <v>285</v>
      </c>
      <c r="T17" s="9" t="s">
        <v>295</v>
      </c>
      <c r="U17" s="9" t="s">
        <v>296</v>
      </c>
      <c r="V17" s="9" t="s">
        <v>331</v>
      </c>
      <c r="W17" s="9">
        <v>13.0</v>
      </c>
    </row>
    <row r="18">
      <c r="A18" s="9">
        <v>115.0</v>
      </c>
      <c r="B18" s="9" t="s">
        <v>343</v>
      </c>
      <c r="C18" s="9" t="s">
        <v>281</v>
      </c>
      <c r="D18" s="9">
        <v>3.0</v>
      </c>
      <c r="E18" s="9">
        <v>1.0</v>
      </c>
      <c r="G18" s="9" t="s">
        <v>269</v>
      </c>
      <c r="H18" s="9" t="s">
        <v>270</v>
      </c>
      <c r="I18" s="9" t="s">
        <v>269</v>
      </c>
      <c r="J18" s="9" t="s">
        <v>344</v>
      </c>
      <c r="K18" s="9" t="s">
        <v>132</v>
      </c>
      <c r="L18" s="9" t="s">
        <v>345</v>
      </c>
      <c r="M18" s="9" t="s">
        <v>292</v>
      </c>
      <c r="N18" s="9" t="s">
        <v>292</v>
      </c>
      <c r="O18" s="9" t="s">
        <v>346</v>
      </c>
      <c r="P18" s="9" t="s">
        <v>292</v>
      </c>
      <c r="Q18" s="9" t="s">
        <v>347</v>
      </c>
      <c r="R18" s="9" t="s">
        <v>292</v>
      </c>
      <c r="T18" s="9" t="s">
        <v>296</v>
      </c>
      <c r="U18" s="9" t="s">
        <v>296</v>
      </c>
      <c r="W18" s="9">
        <v>13.0</v>
      </c>
    </row>
    <row r="19">
      <c r="A19" s="9">
        <v>130.0</v>
      </c>
      <c r="B19" s="9" t="s">
        <v>348</v>
      </c>
      <c r="C19" s="9" t="s">
        <v>288</v>
      </c>
      <c r="D19" s="9">
        <v>3.0</v>
      </c>
      <c r="E19" s="9">
        <v>1.0</v>
      </c>
      <c r="G19" s="9" t="s">
        <v>269</v>
      </c>
      <c r="H19" s="9" t="s">
        <v>270</v>
      </c>
      <c r="I19" s="9" t="s">
        <v>269</v>
      </c>
      <c r="J19" s="9" t="s">
        <v>132</v>
      </c>
      <c r="K19" s="9" t="s">
        <v>132</v>
      </c>
      <c r="L19" s="9" t="s">
        <v>345</v>
      </c>
      <c r="M19" s="9" t="s">
        <v>304</v>
      </c>
      <c r="N19" s="9" t="s">
        <v>304</v>
      </c>
      <c r="O19" s="9" t="s">
        <v>276</v>
      </c>
      <c r="P19" s="9" t="s">
        <v>276</v>
      </c>
      <c r="Q19" s="9" t="s">
        <v>277</v>
      </c>
      <c r="R19" s="9" t="s">
        <v>276</v>
      </c>
      <c r="T19" s="9" t="s">
        <v>296</v>
      </c>
      <c r="U19" s="9" t="s">
        <v>295</v>
      </c>
      <c r="V19" s="9" t="s">
        <v>316</v>
      </c>
      <c r="W19" s="9">
        <v>23.0</v>
      </c>
    </row>
    <row r="20">
      <c r="A20" s="9">
        <v>137.0</v>
      </c>
      <c r="B20" s="9" t="s">
        <v>349</v>
      </c>
      <c r="C20" s="9" t="s">
        <v>288</v>
      </c>
      <c r="D20" s="9">
        <v>4.0</v>
      </c>
      <c r="E20" s="9">
        <v>1.0</v>
      </c>
      <c r="G20" s="9" t="s">
        <v>269</v>
      </c>
      <c r="H20" s="9" t="s">
        <v>289</v>
      </c>
      <c r="I20" s="9" t="s">
        <v>271</v>
      </c>
      <c r="J20" s="9" t="s">
        <v>132</v>
      </c>
      <c r="K20" s="9" t="s">
        <v>132</v>
      </c>
      <c r="L20" s="9" t="s">
        <v>307</v>
      </c>
      <c r="M20" s="9" t="s">
        <v>292</v>
      </c>
      <c r="N20" s="9" t="s">
        <v>285</v>
      </c>
      <c r="O20" s="9" t="s">
        <v>275</v>
      </c>
      <c r="P20" s="9" t="s">
        <v>285</v>
      </c>
      <c r="Q20" s="9" t="s">
        <v>277</v>
      </c>
      <c r="R20" s="9" t="s">
        <v>275</v>
      </c>
      <c r="T20" s="9" t="s">
        <v>350</v>
      </c>
      <c r="U20" s="9" t="s">
        <v>296</v>
      </c>
      <c r="V20" s="9" t="s">
        <v>297</v>
      </c>
      <c r="W20" s="9">
        <v>23.0</v>
      </c>
    </row>
    <row r="21">
      <c r="A21" s="9">
        <v>113.0</v>
      </c>
      <c r="B21" s="9" t="s">
        <v>351</v>
      </c>
      <c r="C21" s="9" t="s">
        <v>333</v>
      </c>
      <c r="D21" s="9">
        <v>4.0</v>
      </c>
      <c r="E21" s="9">
        <v>1.0</v>
      </c>
      <c r="G21" s="9" t="s">
        <v>271</v>
      </c>
      <c r="H21" s="9" t="s">
        <v>270</v>
      </c>
      <c r="I21" s="9" t="s">
        <v>271</v>
      </c>
      <c r="J21" s="9" t="s">
        <v>352</v>
      </c>
      <c r="K21" s="9" t="s">
        <v>132</v>
      </c>
      <c r="L21" s="9" t="s">
        <v>303</v>
      </c>
      <c r="M21" s="9" t="s">
        <v>353</v>
      </c>
      <c r="N21" s="9" t="s">
        <v>277</v>
      </c>
      <c r="O21" s="9" t="s">
        <v>292</v>
      </c>
      <c r="P21" s="9" t="s">
        <v>354</v>
      </c>
      <c r="Q21" s="9" t="s">
        <v>277</v>
      </c>
      <c r="R21" s="9" t="s">
        <v>277</v>
      </c>
      <c r="T21" s="9" t="s">
        <v>355</v>
      </c>
      <c r="U21" s="9" t="s">
        <v>329</v>
      </c>
      <c r="V21" s="9" t="s">
        <v>331</v>
      </c>
      <c r="W21" s="9">
        <v>7.0</v>
      </c>
    </row>
    <row r="22">
      <c r="A22" s="9">
        <v>1.0</v>
      </c>
      <c r="B22" s="9" t="s">
        <v>225</v>
      </c>
      <c r="C22" s="9" t="s">
        <v>281</v>
      </c>
      <c r="D22" s="9">
        <v>4.0</v>
      </c>
      <c r="E22" s="9">
        <v>1.0</v>
      </c>
      <c r="F22" s="9" t="s">
        <v>269</v>
      </c>
      <c r="G22" s="9" t="s">
        <v>269</v>
      </c>
      <c r="H22" s="9" t="s">
        <v>270</v>
      </c>
      <c r="I22" s="9" t="s">
        <v>269</v>
      </c>
      <c r="J22" s="9" t="s">
        <v>132</v>
      </c>
      <c r="K22" s="9" t="s">
        <v>132</v>
      </c>
      <c r="L22" s="9" t="s">
        <v>303</v>
      </c>
      <c r="M22" s="9" t="s">
        <v>284</v>
      </c>
      <c r="N22" s="9" t="s">
        <v>284</v>
      </c>
      <c r="O22" s="9" t="s">
        <v>284</v>
      </c>
      <c r="P22" s="9" t="s">
        <v>284</v>
      </c>
      <c r="Q22" s="9" t="s">
        <v>277</v>
      </c>
      <c r="R22" s="9" t="s">
        <v>284</v>
      </c>
      <c r="T22" s="9" t="s">
        <v>296</v>
      </c>
      <c r="U22" s="9" t="s">
        <v>296</v>
      </c>
      <c r="V22" s="9" t="s">
        <v>356</v>
      </c>
      <c r="W22" s="9">
        <v>53.0</v>
      </c>
    </row>
    <row r="23">
      <c r="A23" s="9">
        <v>79.0</v>
      </c>
      <c r="B23" s="9" t="s">
        <v>357</v>
      </c>
      <c r="C23" s="9" t="s">
        <v>281</v>
      </c>
      <c r="D23" s="9">
        <v>4.0</v>
      </c>
      <c r="E23" s="9">
        <v>1.0</v>
      </c>
      <c r="G23" s="9" t="s">
        <v>269</v>
      </c>
      <c r="H23" s="9" t="s">
        <v>270</v>
      </c>
      <c r="I23" s="9" t="s">
        <v>269</v>
      </c>
      <c r="J23" s="9" t="s">
        <v>132</v>
      </c>
      <c r="K23" s="9" t="s">
        <v>132</v>
      </c>
      <c r="L23" s="9" t="s">
        <v>358</v>
      </c>
      <c r="M23" s="9" t="s">
        <v>276</v>
      </c>
      <c r="N23" s="9" t="s">
        <v>285</v>
      </c>
      <c r="O23" s="9" t="s">
        <v>324</v>
      </c>
      <c r="P23" s="9" t="s">
        <v>276</v>
      </c>
      <c r="Q23" s="9" t="s">
        <v>277</v>
      </c>
      <c r="R23" s="9" t="s">
        <v>284</v>
      </c>
      <c r="T23" s="9" t="s">
        <v>296</v>
      </c>
      <c r="U23" s="9" t="s">
        <v>296</v>
      </c>
      <c r="V23" s="9" t="s">
        <v>359</v>
      </c>
      <c r="W23" s="9">
        <v>15.0</v>
      </c>
    </row>
    <row r="24">
      <c r="A24" s="9">
        <v>19.0</v>
      </c>
      <c r="B24" s="9" t="s">
        <v>360</v>
      </c>
      <c r="C24" s="9" t="s">
        <v>294</v>
      </c>
      <c r="D24" s="9">
        <v>4.0</v>
      </c>
      <c r="E24" s="9">
        <v>1.0</v>
      </c>
      <c r="F24" s="9" t="s">
        <v>269</v>
      </c>
      <c r="G24" s="9" t="s">
        <v>269</v>
      </c>
      <c r="H24" s="9" t="s">
        <v>270</v>
      </c>
      <c r="I24" s="9" t="s">
        <v>271</v>
      </c>
      <c r="J24" s="9" t="s">
        <v>361</v>
      </c>
      <c r="K24" s="9" t="s">
        <v>132</v>
      </c>
      <c r="L24" s="9" t="s">
        <v>300</v>
      </c>
      <c r="M24" s="9" t="s">
        <v>362</v>
      </c>
      <c r="N24" s="9" t="s">
        <v>324</v>
      </c>
      <c r="O24" s="9" t="s">
        <v>285</v>
      </c>
      <c r="P24" s="9" t="s">
        <v>276</v>
      </c>
      <c r="Q24" s="9" t="s">
        <v>321</v>
      </c>
      <c r="R24" s="9" t="s">
        <v>277</v>
      </c>
      <c r="T24" s="9" t="s">
        <v>363</v>
      </c>
      <c r="U24" s="9" t="s">
        <v>295</v>
      </c>
      <c r="V24" s="9" t="s">
        <v>326</v>
      </c>
      <c r="W24" s="9">
        <v>22.0</v>
      </c>
    </row>
    <row r="25">
      <c r="A25" s="9">
        <v>106.0</v>
      </c>
      <c r="B25" s="9" t="s">
        <v>364</v>
      </c>
      <c r="C25" s="9" t="s">
        <v>333</v>
      </c>
      <c r="D25" s="9">
        <v>4.0</v>
      </c>
      <c r="E25" s="9">
        <v>1.0</v>
      </c>
      <c r="G25" s="9" t="s">
        <v>269</v>
      </c>
      <c r="H25" s="9" t="s">
        <v>289</v>
      </c>
      <c r="I25" s="9" t="s">
        <v>269</v>
      </c>
      <c r="J25" s="9" t="s">
        <v>132</v>
      </c>
      <c r="K25" s="9" t="s">
        <v>132</v>
      </c>
      <c r="L25" s="9" t="s">
        <v>320</v>
      </c>
      <c r="M25" s="9" t="s">
        <v>285</v>
      </c>
      <c r="N25" s="9" t="s">
        <v>284</v>
      </c>
      <c r="O25" s="9" t="s">
        <v>292</v>
      </c>
      <c r="P25" s="9" t="s">
        <v>292</v>
      </c>
      <c r="Q25" s="9" t="s">
        <v>277</v>
      </c>
      <c r="R25" s="9" t="s">
        <v>275</v>
      </c>
      <c r="T25" s="9" t="s">
        <v>365</v>
      </c>
      <c r="U25" s="9" t="s">
        <v>296</v>
      </c>
      <c r="V25" s="9" t="s">
        <v>366</v>
      </c>
      <c r="W25" s="9">
        <v>16.0</v>
      </c>
    </row>
    <row r="26">
      <c r="A26" s="9">
        <v>14.0</v>
      </c>
      <c r="B26" s="9" t="s">
        <v>367</v>
      </c>
      <c r="C26" s="9" t="s">
        <v>333</v>
      </c>
      <c r="D26" s="9">
        <v>4.0</v>
      </c>
      <c r="E26" s="9">
        <v>2.0</v>
      </c>
      <c r="F26" s="9" t="s">
        <v>269</v>
      </c>
      <c r="G26" s="9" t="s">
        <v>269</v>
      </c>
      <c r="H26" s="9" t="s">
        <v>270</v>
      </c>
      <c r="I26" s="9" t="s">
        <v>269</v>
      </c>
      <c r="J26" s="9" t="s">
        <v>368</v>
      </c>
      <c r="K26" s="9" t="s">
        <v>132</v>
      </c>
      <c r="L26" s="9" t="s">
        <v>291</v>
      </c>
      <c r="M26" s="9" t="s">
        <v>285</v>
      </c>
      <c r="N26" s="9" t="s">
        <v>324</v>
      </c>
      <c r="O26" s="9" t="s">
        <v>284</v>
      </c>
      <c r="P26" s="9" t="s">
        <v>285</v>
      </c>
      <c r="Q26" s="9" t="s">
        <v>277</v>
      </c>
      <c r="R26" s="9" t="s">
        <v>277</v>
      </c>
      <c r="T26" s="9" t="s">
        <v>278</v>
      </c>
      <c r="U26" s="9" t="s">
        <v>278</v>
      </c>
      <c r="V26" s="9" t="s">
        <v>359</v>
      </c>
      <c r="W26" s="9">
        <v>24.0</v>
      </c>
    </row>
    <row r="27">
      <c r="A27" s="9">
        <v>71.0</v>
      </c>
      <c r="B27" s="9" t="s">
        <v>369</v>
      </c>
      <c r="C27" s="9" t="s">
        <v>281</v>
      </c>
      <c r="D27" s="9">
        <v>4.0</v>
      </c>
      <c r="E27" s="9">
        <v>1.0</v>
      </c>
      <c r="G27" s="9" t="s">
        <v>269</v>
      </c>
      <c r="H27" s="9" t="s">
        <v>270</v>
      </c>
      <c r="I27" s="9" t="s">
        <v>269</v>
      </c>
      <c r="J27" s="9" t="s">
        <v>132</v>
      </c>
      <c r="K27" s="9" t="s">
        <v>132</v>
      </c>
      <c r="L27" s="9" t="s">
        <v>370</v>
      </c>
      <c r="M27" s="9" t="s">
        <v>285</v>
      </c>
      <c r="N27" s="9" t="s">
        <v>285</v>
      </c>
      <c r="O27" s="9" t="s">
        <v>304</v>
      </c>
      <c r="P27" s="9" t="s">
        <v>276</v>
      </c>
      <c r="Q27" s="9" t="s">
        <v>321</v>
      </c>
      <c r="R27" s="9" t="s">
        <v>371</v>
      </c>
      <c r="T27" s="9" t="s">
        <v>372</v>
      </c>
      <c r="U27" s="9" t="s">
        <v>373</v>
      </c>
      <c r="V27" s="9" t="s">
        <v>309</v>
      </c>
      <c r="W27" s="9">
        <v>16.0</v>
      </c>
    </row>
    <row r="28">
      <c r="A28" s="9">
        <v>2.0</v>
      </c>
      <c r="B28" s="9" t="s">
        <v>14</v>
      </c>
      <c r="C28" s="9" t="s">
        <v>294</v>
      </c>
      <c r="D28" s="9">
        <v>4.0</v>
      </c>
      <c r="E28" s="9">
        <v>1.0</v>
      </c>
      <c r="F28" s="9" t="s">
        <v>269</v>
      </c>
      <c r="G28" s="9" t="s">
        <v>269</v>
      </c>
      <c r="H28" s="9" t="s">
        <v>282</v>
      </c>
      <c r="I28" s="9" t="s">
        <v>271</v>
      </c>
      <c r="J28" s="9" t="s">
        <v>374</v>
      </c>
      <c r="K28" s="9" t="s">
        <v>132</v>
      </c>
      <c r="L28" s="9" t="s">
        <v>370</v>
      </c>
      <c r="M28" s="9" t="s">
        <v>362</v>
      </c>
      <c r="N28" s="9" t="s">
        <v>276</v>
      </c>
      <c r="O28" s="9" t="s">
        <v>324</v>
      </c>
      <c r="P28" s="9" t="s">
        <v>284</v>
      </c>
      <c r="Q28" s="9" t="s">
        <v>277</v>
      </c>
      <c r="R28" s="9" t="s">
        <v>277</v>
      </c>
      <c r="T28" s="9" t="s">
        <v>363</v>
      </c>
      <c r="U28" s="9" t="s">
        <v>295</v>
      </c>
      <c r="V28" s="9" t="s">
        <v>297</v>
      </c>
      <c r="W28" s="9">
        <v>17.0</v>
      </c>
    </row>
    <row r="29">
      <c r="A29" s="9">
        <v>8.0</v>
      </c>
      <c r="B29" s="9" t="s">
        <v>375</v>
      </c>
      <c r="C29" s="9" t="s">
        <v>333</v>
      </c>
      <c r="D29" s="9">
        <v>4.0</v>
      </c>
      <c r="E29" s="9">
        <v>3.0</v>
      </c>
      <c r="F29" s="9" t="s">
        <v>269</v>
      </c>
      <c r="G29" s="9" t="s">
        <v>271</v>
      </c>
      <c r="H29" s="9" t="s">
        <v>282</v>
      </c>
      <c r="I29" s="9" t="s">
        <v>271</v>
      </c>
      <c r="J29" s="9" t="s">
        <v>376</v>
      </c>
      <c r="K29" s="9" t="s">
        <v>132</v>
      </c>
      <c r="L29" s="9" t="s">
        <v>300</v>
      </c>
      <c r="M29" s="9" t="s">
        <v>285</v>
      </c>
      <c r="N29" s="9" t="s">
        <v>292</v>
      </c>
      <c r="O29" s="9" t="s">
        <v>285</v>
      </c>
      <c r="P29" s="9" t="s">
        <v>276</v>
      </c>
      <c r="Q29" s="9" t="s">
        <v>321</v>
      </c>
      <c r="R29" s="9" t="s">
        <v>285</v>
      </c>
      <c r="T29" s="9" t="s">
        <v>363</v>
      </c>
      <c r="U29" s="9" t="s">
        <v>329</v>
      </c>
      <c r="V29" s="9" t="s">
        <v>316</v>
      </c>
      <c r="W29" s="9">
        <v>16.0</v>
      </c>
    </row>
    <row r="30">
      <c r="A30" s="9">
        <v>12.0</v>
      </c>
      <c r="B30" s="9" t="s">
        <v>377</v>
      </c>
      <c r="C30" s="9" t="s">
        <v>268</v>
      </c>
      <c r="D30" s="9">
        <v>4.0</v>
      </c>
      <c r="E30" s="9">
        <v>1.0</v>
      </c>
      <c r="G30" s="9" t="s">
        <v>269</v>
      </c>
      <c r="H30" s="9" t="s">
        <v>270</v>
      </c>
      <c r="I30" s="9" t="s">
        <v>269</v>
      </c>
      <c r="J30" s="9" t="s">
        <v>378</v>
      </c>
      <c r="K30" s="9" t="s">
        <v>132</v>
      </c>
      <c r="L30" s="9" t="s">
        <v>379</v>
      </c>
      <c r="M30" s="9" t="s">
        <v>276</v>
      </c>
      <c r="N30" s="9" t="s">
        <v>276</v>
      </c>
      <c r="O30" s="9" t="s">
        <v>362</v>
      </c>
      <c r="P30" s="9" t="s">
        <v>284</v>
      </c>
      <c r="Q30" s="9" t="s">
        <v>321</v>
      </c>
      <c r="R30" s="9" t="s">
        <v>324</v>
      </c>
      <c r="T30" s="9" t="s">
        <v>295</v>
      </c>
      <c r="U30" s="9" t="s">
        <v>301</v>
      </c>
      <c r="V30" s="9" t="s">
        <v>309</v>
      </c>
      <c r="W30" s="9">
        <v>18.0</v>
      </c>
    </row>
    <row r="31">
      <c r="A31" s="9">
        <v>107.0</v>
      </c>
      <c r="B31" s="9" t="s">
        <v>380</v>
      </c>
      <c r="C31" s="9" t="s">
        <v>333</v>
      </c>
      <c r="D31" s="9">
        <v>4.0</v>
      </c>
      <c r="E31" s="9">
        <v>1.0</v>
      </c>
      <c r="F31" s="9" t="s">
        <v>269</v>
      </c>
      <c r="G31" s="9" t="s">
        <v>269</v>
      </c>
      <c r="H31" s="9" t="s">
        <v>289</v>
      </c>
      <c r="I31" s="9" t="s">
        <v>269</v>
      </c>
      <c r="J31" s="9" t="s">
        <v>381</v>
      </c>
      <c r="K31" s="9" t="s">
        <v>132</v>
      </c>
      <c r="L31" s="9" t="s">
        <v>320</v>
      </c>
      <c r="M31" s="9" t="s">
        <v>382</v>
      </c>
      <c r="N31" s="9" t="s">
        <v>284</v>
      </c>
      <c r="O31" s="9" t="s">
        <v>292</v>
      </c>
      <c r="P31" s="9" t="s">
        <v>276</v>
      </c>
      <c r="Q31" s="9" t="s">
        <v>277</v>
      </c>
      <c r="R31" s="9" t="s">
        <v>275</v>
      </c>
      <c r="T31" s="9" t="s">
        <v>365</v>
      </c>
      <c r="U31" s="9" t="s">
        <v>295</v>
      </c>
      <c r="V31" s="9" t="s">
        <v>297</v>
      </c>
      <c r="W31" s="9">
        <v>16.0</v>
      </c>
    </row>
    <row r="32">
      <c r="A32" s="9">
        <v>81.0</v>
      </c>
      <c r="B32" s="9" t="s">
        <v>383</v>
      </c>
      <c r="C32" s="9" t="s">
        <v>333</v>
      </c>
      <c r="D32" s="9">
        <v>5.0</v>
      </c>
      <c r="E32" s="9">
        <v>1.0</v>
      </c>
      <c r="G32" s="9" t="s">
        <v>269</v>
      </c>
      <c r="H32" s="9" t="s">
        <v>270</v>
      </c>
      <c r="I32" s="9" t="s">
        <v>269</v>
      </c>
      <c r="J32" s="9" t="s">
        <v>384</v>
      </c>
      <c r="K32" s="9" t="s">
        <v>132</v>
      </c>
      <c r="L32" s="9" t="s">
        <v>370</v>
      </c>
      <c r="M32" s="9" t="s">
        <v>304</v>
      </c>
      <c r="N32" s="9" t="s">
        <v>304</v>
      </c>
      <c r="O32" s="9" t="s">
        <v>304</v>
      </c>
      <c r="P32" s="9" t="s">
        <v>276</v>
      </c>
      <c r="Q32" s="9" t="s">
        <v>321</v>
      </c>
      <c r="R32" s="9" t="s">
        <v>276</v>
      </c>
      <c r="T32" s="9" t="s">
        <v>363</v>
      </c>
      <c r="U32" s="9" t="s">
        <v>295</v>
      </c>
      <c r="V32" s="9" t="s">
        <v>331</v>
      </c>
      <c r="W32" s="9">
        <v>18.0</v>
      </c>
    </row>
    <row r="33">
      <c r="B33" s="9" t="s">
        <v>385</v>
      </c>
      <c r="C33" s="9" t="s">
        <v>386</v>
      </c>
      <c r="D33" s="9">
        <v>5.0</v>
      </c>
      <c r="E33" s="9">
        <v>2.0</v>
      </c>
      <c r="F33" s="9" t="s">
        <v>269</v>
      </c>
      <c r="G33" s="9" t="s">
        <v>269</v>
      </c>
      <c r="H33" s="9" t="s">
        <v>270</v>
      </c>
      <c r="I33" s="9" t="s">
        <v>271</v>
      </c>
      <c r="J33" s="9" t="s">
        <v>368</v>
      </c>
      <c r="K33" s="9" t="s">
        <v>132</v>
      </c>
      <c r="L33" s="9" t="s">
        <v>323</v>
      </c>
      <c r="M33" s="9" t="s">
        <v>285</v>
      </c>
      <c r="N33" s="9" t="s">
        <v>387</v>
      </c>
      <c r="O33" s="9" t="s">
        <v>275</v>
      </c>
      <c r="P33" s="9" t="s">
        <v>285</v>
      </c>
      <c r="Q33" s="9" t="s">
        <v>388</v>
      </c>
      <c r="R33" s="9" t="s">
        <v>277</v>
      </c>
      <c r="T33" s="9" t="s">
        <v>389</v>
      </c>
      <c r="U33" s="9" t="s">
        <v>329</v>
      </c>
      <c r="V33" s="9" t="s">
        <v>390</v>
      </c>
      <c r="W33" s="9">
        <v>56.0</v>
      </c>
    </row>
    <row r="34">
      <c r="A34" s="9">
        <v>86.0</v>
      </c>
      <c r="B34" s="9" t="s">
        <v>391</v>
      </c>
      <c r="C34" s="9" t="s">
        <v>281</v>
      </c>
      <c r="D34" s="9">
        <v>5.0</v>
      </c>
      <c r="E34" s="9">
        <v>1.0</v>
      </c>
      <c r="G34" s="9" t="s">
        <v>269</v>
      </c>
      <c r="H34" s="9" t="s">
        <v>270</v>
      </c>
      <c r="I34" s="9" t="s">
        <v>269</v>
      </c>
      <c r="J34" s="9" t="s">
        <v>132</v>
      </c>
      <c r="K34" s="9" t="s">
        <v>132</v>
      </c>
      <c r="L34" s="9" t="s">
        <v>392</v>
      </c>
      <c r="M34" s="9" t="s">
        <v>304</v>
      </c>
      <c r="N34" s="9" t="s">
        <v>285</v>
      </c>
      <c r="O34" s="9" t="s">
        <v>304</v>
      </c>
      <c r="P34" s="9" t="s">
        <v>284</v>
      </c>
      <c r="Q34" s="9" t="s">
        <v>277</v>
      </c>
      <c r="R34" s="9" t="s">
        <v>284</v>
      </c>
      <c r="T34" s="9" t="s">
        <v>365</v>
      </c>
      <c r="U34" s="9" t="s">
        <v>296</v>
      </c>
      <c r="V34" s="9" t="s">
        <v>331</v>
      </c>
      <c r="W34" s="9">
        <v>17.0</v>
      </c>
    </row>
    <row r="35">
      <c r="A35" s="9">
        <v>16.0</v>
      </c>
      <c r="B35" s="9" t="s">
        <v>393</v>
      </c>
      <c r="C35" s="9" t="s">
        <v>333</v>
      </c>
      <c r="D35" s="9">
        <v>5.0</v>
      </c>
      <c r="E35" s="9">
        <v>1.0</v>
      </c>
      <c r="G35" s="9" t="s">
        <v>269</v>
      </c>
      <c r="H35" s="9" t="s">
        <v>270</v>
      </c>
      <c r="I35" s="9" t="s">
        <v>269</v>
      </c>
      <c r="J35" s="9" t="s">
        <v>132</v>
      </c>
      <c r="K35" s="9" t="s">
        <v>132</v>
      </c>
      <c r="L35" s="9" t="s">
        <v>291</v>
      </c>
      <c r="M35" s="9" t="s">
        <v>324</v>
      </c>
      <c r="N35" s="9" t="s">
        <v>324</v>
      </c>
      <c r="O35" s="9" t="s">
        <v>276</v>
      </c>
      <c r="P35" s="9" t="s">
        <v>285</v>
      </c>
      <c r="Q35" s="9" t="s">
        <v>347</v>
      </c>
      <c r="R35" s="9" t="s">
        <v>276</v>
      </c>
      <c r="T35" s="9" t="s">
        <v>278</v>
      </c>
      <c r="U35" s="9" t="s">
        <v>278</v>
      </c>
      <c r="V35" s="9" t="s">
        <v>326</v>
      </c>
      <c r="W35" s="9">
        <v>26.0</v>
      </c>
    </row>
    <row r="36">
      <c r="B36" s="9" t="s">
        <v>394</v>
      </c>
      <c r="C36" s="9" t="s">
        <v>386</v>
      </c>
      <c r="D36" s="9">
        <v>5.0</v>
      </c>
      <c r="E36" s="9">
        <v>1.0</v>
      </c>
      <c r="F36" s="9" t="s">
        <v>269</v>
      </c>
      <c r="G36" s="9" t="s">
        <v>269</v>
      </c>
      <c r="H36" s="9" t="s">
        <v>270</v>
      </c>
      <c r="I36" s="9" t="s">
        <v>269</v>
      </c>
      <c r="J36" s="9" t="s">
        <v>368</v>
      </c>
      <c r="K36" s="9" t="s">
        <v>319</v>
      </c>
      <c r="L36" s="9" t="s">
        <v>395</v>
      </c>
      <c r="M36" s="9" t="s">
        <v>396</v>
      </c>
      <c r="N36" s="9" t="s">
        <v>275</v>
      </c>
      <c r="O36" s="9" t="s">
        <v>284</v>
      </c>
      <c r="P36" s="9" t="s">
        <v>362</v>
      </c>
      <c r="Q36" s="9" t="s">
        <v>277</v>
      </c>
      <c r="R36" s="9" t="s">
        <v>277</v>
      </c>
      <c r="T36" s="9" t="s">
        <v>389</v>
      </c>
      <c r="U36" s="9" t="s">
        <v>397</v>
      </c>
      <c r="V36" s="9" t="s">
        <v>338</v>
      </c>
      <c r="W36" s="9">
        <v>61.0</v>
      </c>
    </row>
    <row r="37">
      <c r="A37" s="9">
        <v>41.0</v>
      </c>
      <c r="B37" s="9" t="s">
        <v>398</v>
      </c>
      <c r="C37" s="9" t="s">
        <v>281</v>
      </c>
      <c r="D37" s="9">
        <v>5.0</v>
      </c>
      <c r="E37" s="9">
        <v>1.0</v>
      </c>
      <c r="F37" s="9" t="s">
        <v>269</v>
      </c>
      <c r="G37" s="9" t="s">
        <v>269</v>
      </c>
      <c r="H37" s="9" t="s">
        <v>282</v>
      </c>
      <c r="I37" s="9" t="s">
        <v>269</v>
      </c>
      <c r="J37" s="9" t="s">
        <v>132</v>
      </c>
      <c r="K37" s="9" t="s">
        <v>132</v>
      </c>
      <c r="L37" s="9" t="s">
        <v>399</v>
      </c>
      <c r="M37" s="9" t="s">
        <v>276</v>
      </c>
      <c r="N37" s="9" t="s">
        <v>276</v>
      </c>
      <c r="O37" s="9" t="s">
        <v>324</v>
      </c>
      <c r="P37" s="9" t="s">
        <v>292</v>
      </c>
      <c r="Q37" s="9" t="s">
        <v>277</v>
      </c>
      <c r="R37" s="9" t="s">
        <v>400</v>
      </c>
      <c r="T37" s="9" t="s">
        <v>373</v>
      </c>
      <c r="U37" s="9" t="s">
        <v>278</v>
      </c>
      <c r="V37" s="9" t="s">
        <v>309</v>
      </c>
      <c r="W37" s="9">
        <v>25.0</v>
      </c>
    </row>
    <row r="38">
      <c r="A38" s="9">
        <v>133.0</v>
      </c>
      <c r="B38" s="9" t="s">
        <v>401</v>
      </c>
      <c r="C38" s="9" t="s">
        <v>333</v>
      </c>
      <c r="D38" s="9">
        <v>5.0</v>
      </c>
      <c r="E38" s="9">
        <v>1.0</v>
      </c>
      <c r="G38" s="9" t="s">
        <v>269</v>
      </c>
      <c r="H38" s="9" t="s">
        <v>270</v>
      </c>
      <c r="I38" s="9" t="s">
        <v>269</v>
      </c>
      <c r="J38" s="9" t="s">
        <v>402</v>
      </c>
      <c r="K38" s="9" t="s">
        <v>132</v>
      </c>
      <c r="L38" s="9" t="s">
        <v>403</v>
      </c>
      <c r="M38" s="9" t="s">
        <v>304</v>
      </c>
      <c r="N38" s="9" t="s">
        <v>284</v>
      </c>
      <c r="O38" s="9" t="s">
        <v>404</v>
      </c>
      <c r="P38" s="9" t="s">
        <v>292</v>
      </c>
      <c r="Q38" s="9" t="s">
        <v>277</v>
      </c>
      <c r="R38" s="9" t="s">
        <v>324</v>
      </c>
      <c r="T38" s="9" t="s">
        <v>363</v>
      </c>
      <c r="U38" s="9" t="s">
        <v>296</v>
      </c>
      <c r="W38" s="9">
        <v>25.0</v>
      </c>
    </row>
    <row r="39">
      <c r="A39" s="9">
        <v>136.0</v>
      </c>
      <c r="B39" s="9" t="s">
        <v>405</v>
      </c>
      <c r="C39" s="9" t="s">
        <v>333</v>
      </c>
      <c r="D39" s="9">
        <v>5.0</v>
      </c>
      <c r="E39" s="9">
        <v>1.0</v>
      </c>
      <c r="G39" s="9" t="s">
        <v>269</v>
      </c>
      <c r="H39" s="9" t="s">
        <v>289</v>
      </c>
      <c r="I39" s="9" t="s">
        <v>269</v>
      </c>
      <c r="J39" s="9" t="s">
        <v>132</v>
      </c>
      <c r="K39" s="9" t="s">
        <v>132</v>
      </c>
      <c r="L39" s="9" t="s">
        <v>370</v>
      </c>
      <c r="M39" s="9" t="s">
        <v>404</v>
      </c>
      <c r="N39" s="9" t="s">
        <v>285</v>
      </c>
      <c r="O39" s="9" t="s">
        <v>304</v>
      </c>
      <c r="P39" s="9" t="s">
        <v>276</v>
      </c>
      <c r="Q39" s="9" t="s">
        <v>277</v>
      </c>
      <c r="R39" s="9" t="s">
        <v>304</v>
      </c>
      <c r="T39" s="9" t="s">
        <v>296</v>
      </c>
      <c r="U39" s="9" t="s">
        <v>365</v>
      </c>
      <c r="V39" s="9" t="s">
        <v>338</v>
      </c>
      <c r="W39" s="9">
        <v>28.0</v>
      </c>
    </row>
    <row r="40">
      <c r="A40" s="9">
        <v>42.0</v>
      </c>
      <c r="B40" s="9" t="s">
        <v>406</v>
      </c>
      <c r="C40" s="9" t="s">
        <v>294</v>
      </c>
      <c r="D40" s="9">
        <v>6.0</v>
      </c>
      <c r="E40" s="9">
        <v>1.0</v>
      </c>
      <c r="F40" s="9" t="s">
        <v>269</v>
      </c>
      <c r="G40" s="9" t="s">
        <v>269</v>
      </c>
      <c r="H40" s="9" t="s">
        <v>270</v>
      </c>
      <c r="I40" s="9" t="s">
        <v>269</v>
      </c>
      <c r="J40" s="9" t="s">
        <v>407</v>
      </c>
      <c r="K40" s="9" t="s">
        <v>132</v>
      </c>
      <c r="L40" s="9" t="s">
        <v>408</v>
      </c>
      <c r="M40" s="9" t="s">
        <v>276</v>
      </c>
      <c r="N40" s="9" t="s">
        <v>308</v>
      </c>
      <c r="O40" s="9" t="s">
        <v>292</v>
      </c>
      <c r="P40" s="9" t="s">
        <v>285</v>
      </c>
      <c r="Q40" s="9" t="s">
        <v>321</v>
      </c>
      <c r="R40" s="9" t="s">
        <v>275</v>
      </c>
      <c r="T40" s="9" t="s">
        <v>355</v>
      </c>
      <c r="U40" s="9" t="s">
        <v>373</v>
      </c>
      <c r="V40" s="9" t="s">
        <v>316</v>
      </c>
      <c r="W40" s="9">
        <v>20.0</v>
      </c>
    </row>
    <row r="41">
      <c r="A41" s="9">
        <v>88.0</v>
      </c>
      <c r="B41" s="9" t="s">
        <v>409</v>
      </c>
      <c r="C41" s="9" t="s">
        <v>281</v>
      </c>
      <c r="D41" s="9">
        <v>6.0</v>
      </c>
      <c r="E41" s="9">
        <v>1.0</v>
      </c>
      <c r="G41" s="9" t="s">
        <v>269</v>
      </c>
      <c r="H41" s="9" t="s">
        <v>270</v>
      </c>
      <c r="I41" s="9" t="s">
        <v>269</v>
      </c>
      <c r="J41" s="9" t="s">
        <v>410</v>
      </c>
      <c r="K41" s="9" t="s">
        <v>132</v>
      </c>
      <c r="L41" s="9" t="s">
        <v>411</v>
      </c>
      <c r="M41" s="9" t="s">
        <v>324</v>
      </c>
      <c r="N41" s="9" t="s">
        <v>324</v>
      </c>
      <c r="O41" s="9" t="s">
        <v>285</v>
      </c>
      <c r="P41" s="9" t="s">
        <v>285</v>
      </c>
      <c r="Q41" s="9" t="s">
        <v>321</v>
      </c>
      <c r="R41" s="9" t="s">
        <v>276</v>
      </c>
      <c r="T41" s="9" t="s">
        <v>355</v>
      </c>
      <c r="U41" s="9" t="s">
        <v>295</v>
      </c>
      <c r="V41" s="9" t="s">
        <v>297</v>
      </c>
      <c r="W41" s="9">
        <v>21.0</v>
      </c>
    </row>
    <row r="42">
      <c r="A42" s="9">
        <v>117.0</v>
      </c>
      <c r="B42" s="9" t="s">
        <v>412</v>
      </c>
      <c r="C42" s="9" t="s">
        <v>333</v>
      </c>
      <c r="D42" s="9">
        <v>6.0</v>
      </c>
      <c r="E42" s="9">
        <v>1.0</v>
      </c>
      <c r="G42" s="9" t="s">
        <v>269</v>
      </c>
      <c r="H42" s="9" t="s">
        <v>270</v>
      </c>
      <c r="I42" s="9" t="s">
        <v>269</v>
      </c>
      <c r="J42" s="9" t="s">
        <v>413</v>
      </c>
      <c r="K42" s="9" t="s">
        <v>132</v>
      </c>
      <c r="L42" s="9" t="s">
        <v>334</v>
      </c>
      <c r="M42" s="9" t="s">
        <v>308</v>
      </c>
      <c r="N42" s="9" t="s">
        <v>275</v>
      </c>
      <c r="O42" s="9" t="s">
        <v>362</v>
      </c>
      <c r="P42" s="9" t="s">
        <v>276</v>
      </c>
      <c r="Q42" s="9" t="s">
        <v>321</v>
      </c>
      <c r="R42" s="9" t="s">
        <v>414</v>
      </c>
      <c r="T42" s="9" t="s">
        <v>295</v>
      </c>
      <c r="U42" s="9" t="s">
        <v>372</v>
      </c>
      <c r="V42" s="9" t="s">
        <v>415</v>
      </c>
      <c r="W42" s="9">
        <v>18.0</v>
      </c>
    </row>
    <row r="43">
      <c r="A43" s="9">
        <v>82.0</v>
      </c>
      <c r="B43" s="9" t="s">
        <v>416</v>
      </c>
      <c r="C43" s="9" t="s">
        <v>386</v>
      </c>
      <c r="D43" s="9">
        <v>7.0</v>
      </c>
      <c r="E43" s="9">
        <v>1.0</v>
      </c>
      <c r="F43" s="9" t="s">
        <v>269</v>
      </c>
      <c r="G43" s="9" t="s">
        <v>271</v>
      </c>
      <c r="H43" s="9" t="s">
        <v>270</v>
      </c>
      <c r="I43" s="9" t="s">
        <v>271</v>
      </c>
      <c r="J43" s="9" t="s">
        <v>417</v>
      </c>
      <c r="K43" s="9" t="s">
        <v>132</v>
      </c>
      <c r="L43" s="9" t="s">
        <v>408</v>
      </c>
      <c r="M43" s="9" t="s">
        <v>285</v>
      </c>
      <c r="N43" s="9" t="s">
        <v>308</v>
      </c>
      <c r="O43" s="9" t="s">
        <v>362</v>
      </c>
      <c r="P43" s="9" t="s">
        <v>362</v>
      </c>
      <c r="Q43" s="9" t="s">
        <v>321</v>
      </c>
      <c r="R43" s="9" t="s">
        <v>362</v>
      </c>
      <c r="T43" s="9" t="s">
        <v>355</v>
      </c>
      <c r="U43" s="9" t="s">
        <v>295</v>
      </c>
      <c r="V43" s="9" t="s">
        <v>338</v>
      </c>
      <c r="W43" s="9">
        <v>85.0</v>
      </c>
    </row>
    <row r="44">
      <c r="A44" s="9">
        <v>44.0</v>
      </c>
      <c r="B44" s="9" t="s">
        <v>418</v>
      </c>
      <c r="C44" s="9" t="s">
        <v>281</v>
      </c>
      <c r="D44" s="9">
        <v>7.0</v>
      </c>
      <c r="E44" s="9">
        <v>1.0</v>
      </c>
      <c r="G44" s="9" t="s">
        <v>269</v>
      </c>
      <c r="H44" s="9" t="s">
        <v>270</v>
      </c>
      <c r="I44" s="9" t="s">
        <v>269</v>
      </c>
      <c r="J44" s="9" t="s">
        <v>368</v>
      </c>
      <c r="K44" s="9" t="s">
        <v>132</v>
      </c>
      <c r="L44" s="9" t="s">
        <v>419</v>
      </c>
      <c r="M44" s="9" t="s">
        <v>324</v>
      </c>
      <c r="N44" s="9" t="s">
        <v>276</v>
      </c>
      <c r="O44" s="9" t="s">
        <v>420</v>
      </c>
      <c r="P44" s="9" t="s">
        <v>284</v>
      </c>
      <c r="Q44" s="9" t="s">
        <v>321</v>
      </c>
      <c r="R44" s="9" t="s">
        <v>277</v>
      </c>
      <c r="T44" s="9" t="s">
        <v>363</v>
      </c>
      <c r="U44" s="9" t="s">
        <v>373</v>
      </c>
      <c r="V44" s="9" t="s">
        <v>286</v>
      </c>
      <c r="W44" s="9">
        <v>29.0</v>
      </c>
    </row>
    <row r="45">
      <c r="A45" s="9">
        <v>43.0</v>
      </c>
      <c r="B45" s="9" t="s">
        <v>421</v>
      </c>
      <c r="C45" s="9" t="s">
        <v>268</v>
      </c>
      <c r="D45" s="9">
        <v>7.0</v>
      </c>
      <c r="E45" s="9">
        <v>3.0</v>
      </c>
      <c r="G45" s="9" t="s">
        <v>269</v>
      </c>
      <c r="H45" s="9" t="s">
        <v>270</v>
      </c>
      <c r="I45" s="9" t="s">
        <v>269</v>
      </c>
      <c r="J45" s="9" t="s">
        <v>422</v>
      </c>
      <c r="K45" s="9" t="s">
        <v>132</v>
      </c>
      <c r="L45" s="9" t="s">
        <v>423</v>
      </c>
      <c r="M45" s="9" t="s">
        <v>285</v>
      </c>
      <c r="N45" s="9" t="s">
        <v>284</v>
      </c>
      <c r="O45" s="9" t="s">
        <v>362</v>
      </c>
      <c r="P45" s="9" t="s">
        <v>284</v>
      </c>
      <c r="Q45" s="9" t="s">
        <v>277</v>
      </c>
      <c r="R45" s="9" t="s">
        <v>277</v>
      </c>
      <c r="T45" s="9" t="s">
        <v>372</v>
      </c>
      <c r="U45" s="9" t="s">
        <v>329</v>
      </c>
      <c r="V45" s="9" t="s">
        <v>356</v>
      </c>
      <c r="W45" s="9">
        <v>22.0</v>
      </c>
    </row>
    <row r="46">
      <c r="A46" s="9">
        <v>17.0</v>
      </c>
      <c r="B46" s="9" t="s">
        <v>16</v>
      </c>
      <c r="C46" s="9" t="s">
        <v>281</v>
      </c>
      <c r="D46" s="9">
        <v>7.0</v>
      </c>
      <c r="E46" s="9">
        <v>1.0</v>
      </c>
      <c r="G46" s="9" t="s">
        <v>269</v>
      </c>
      <c r="H46" s="9" t="s">
        <v>270</v>
      </c>
      <c r="I46" s="9" t="s">
        <v>269</v>
      </c>
      <c r="J46" s="9" t="s">
        <v>132</v>
      </c>
      <c r="K46" s="9" t="s">
        <v>132</v>
      </c>
      <c r="L46" s="9" t="s">
        <v>358</v>
      </c>
      <c r="M46" s="9" t="s">
        <v>324</v>
      </c>
      <c r="N46" s="9" t="s">
        <v>285</v>
      </c>
      <c r="O46" s="9" t="s">
        <v>324</v>
      </c>
      <c r="P46" s="9" t="s">
        <v>276</v>
      </c>
      <c r="Q46" s="9" t="s">
        <v>277</v>
      </c>
      <c r="R46" s="9" t="s">
        <v>362</v>
      </c>
      <c r="T46" s="9" t="s">
        <v>373</v>
      </c>
      <c r="U46" s="9" t="s">
        <v>278</v>
      </c>
      <c r="V46" s="9" t="s">
        <v>305</v>
      </c>
      <c r="W46" s="9">
        <v>28.0</v>
      </c>
    </row>
    <row r="47">
      <c r="A47" s="9">
        <v>103.0</v>
      </c>
      <c r="B47" s="9" t="s">
        <v>424</v>
      </c>
      <c r="C47" s="9" t="s">
        <v>294</v>
      </c>
      <c r="D47" s="9">
        <v>8.0</v>
      </c>
      <c r="E47" s="9">
        <v>1.0</v>
      </c>
      <c r="F47" s="9" t="s">
        <v>271</v>
      </c>
      <c r="G47" s="9" t="s">
        <v>269</v>
      </c>
      <c r="H47" s="9" t="s">
        <v>270</v>
      </c>
      <c r="I47" s="9" t="s">
        <v>271</v>
      </c>
      <c r="J47" s="9" t="s">
        <v>425</v>
      </c>
      <c r="K47" s="9" t="s">
        <v>319</v>
      </c>
      <c r="L47" s="9" t="s">
        <v>399</v>
      </c>
      <c r="M47" s="9" t="s">
        <v>304</v>
      </c>
      <c r="N47" s="9" t="s">
        <v>324</v>
      </c>
      <c r="O47" s="9" t="s">
        <v>276</v>
      </c>
      <c r="P47" s="9" t="s">
        <v>285</v>
      </c>
      <c r="Q47" s="9" t="s">
        <v>321</v>
      </c>
      <c r="R47" s="9" t="s">
        <v>304</v>
      </c>
      <c r="T47" s="9" t="s">
        <v>372</v>
      </c>
      <c r="U47" s="9" t="s">
        <v>295</v>
      </c>
      <c r="V47" s="9" t="s">
        <v>286</v>
      </c>
      <c r="W47" s="9">
        <v>18.0</v>
      </c>
    </row>
    <row r="48">
      <c r="A48" s="9">
        <v>45.0</v>
      </c>
      <c r="B48" s="9" t="s">
        <v>426</v>
      </c>
      <c r="C48" s="9" t="s">
        <v>333</v>
      </c>
      <c r="D48" s="9">
        <v>8.0</v>
      </c>
      <c r="E48" s="9">
        <v>1.0</v>
      </c>
      <c r="G48" s="9" t="s">
        <v>269</v>
      </c>
      <c r="H48" s="9" t="s">
        <v>270</v>
      </c>
      <c r="I48" s="9" t="s">
        <v>269</v>
      </c>
      <c r="L48" s="9" t="s">
        <v>399</v>
      </c>
      <c r="M48" s="9" t="s">
        <v>285</v>
      </c>
      <c r="N48" s="9" t="s">
        <v>324</v>
      </c>
      <c r="O48" s="9" t="s">
        <v>304</v>
      </c>
      <c r="P48" s="9" t="s">
        <v>321</v>
      </c>
      <c r="Q48" s="9" t="s">
        <v>321</v>
      </c>
      <c r="R48" s="9" t="s">
        <v>284</v>
      </c>
      <c r="T48" s="9" t="s">
        <v>278</v>
      </c>
      <c r="U48" s="9" t="s">
        <v>296</v>
      </c>
      <c r="V48" s="9" t="s">
        <v>427</v>
      </c>
      <c r="W48" s="9">
        <v>23.0</v>
      </c>
    </row>
    <row r="49">
      <c r="A49" s="9">
        <v>54.0</v>
      </c>
      <c r="B49" s="9" t="s">
        <v>428</v>
      </c>
      <c r="C49" s="9" t="s">
        <v>281</v>
      </c>
      <c r="D49" s="9">
        <v>8.0</v>
      </c>
      <c r="E49" s="9">
        <v>1.0</v>
      </c>
      <c r="G49" s="9" t="s">
        <v>269</v>
      </c>
      <c r="H49" s="9" t="s">
        <v>270</v>
      </c>
      <c r="I49" s="9" t="s">
        <v>269</v>
      </c>
      <c r="J49" s="9" t="s">
        <v>132</v>
      </c>
      <c r="K49" s="9" t="s">
        <v>132</v>
      </c>
      <c r="L49" s="9" t="s">
        <v>429</v>
      </c>
      <c r="M49" s="9" t="s">
        <v>324</v>
      </c>
      <c r="N49" s="9" t="s">
        <v>362</v>
      </c>
      <c r="O49" s="9" t="s">
        <v>324</v>
      </c>
      <c r="P49" s="9" t="s">
        <v>304</v>
      </c>
      <c r="Q49" s="9" t="s">
        <v>321</v>
      </c>
      <c r="R49" s="9" t="s">
        <v>371</v>
      </c>
      <c r="T49" s="9" t="s">
        <v>329</v>
      </c>
      <c r="U49" s="9" t="s">
        <v>372</v>
      </c>
      <c r="V49" s="9" t="s">
        <v>359</v>
      </c>
      <c r="W49" s="9">
        <v>60.0</v>
      </c>
    </row>
    <row r="50">
      <c r="A50" s="9">
        <v>97.0</v>
      </c>
      <c r="B50" s="9" t="s">
        <v>430</v>
      </c>
      <c r="C50" s="9" t="s">
        <v>281</v>
      </c>
      <c r="D50" s="9">
        <v>8.0</v>
      </c>
      <c r="E50" s="9">
        <v>1.0</v>
      </c>
      <c r="G50" s="9" t="s">
        <v>269</v>
      </c>
      <c r="H50" s="9" t="s">
        <v>270</v>
      </c>
      <c r="I50" s="9" t="s">
        <v>269</v>
      </c>
      <c r="J50" s="9" t="s">
        <v>132</v>
      </c>
      <c r="K50" s="9" t="s">
        <v>132</v>
      </c>
      <c r="L50" s="9" t="s">
        <v>431</v>
      </c>
      <c r="M50" s="9" t="s">
        <v>432</v>
      </c>
      <c r="N50" s="9" t="s">
        <v>276</v>
      </c>
      <c r="O50" s="9" t="s">
        <v>285</v>
      </c>
      <c r="P50" s="9" t="s">
        <v>276</v>
      </c>
      <c r="Q50" s="9" t="s">
        <v>277</v>
      </c>
      <c r="R50" s="9" t="s">
        <v>433</v>
      </c>
      <c r="T50" s="9" t="s">
        <v>296</v>
      </c>
      <c r="U50" s="9" t="s">
        <v>434</v>
      </c>
      <c r="V50" s="9" t="s">
        <v>415</v>
      </c>
      <c r="W50" s="9">
        <v>38.0</v>
      </c>
    </row>
    <row r="51">
      <c r="A51" s="9">
        <v>131.0</v>
      </c>
      <c r="B51" s="9" t="s">
        <v>435</v>
      </c>
      <c r="C51" s="9" t="s">
        <v>281</v>
      </c>
      <c r="D51" s="9">
        <v>8.0</v>
      </c>
      <c r="E51" s="9">
        <v>1.0</v>
      </c>
      <c r="G51" s="9" t="s">
        <v>269</v>
      </c>
      <c r="H51" s="9" t="s">
        <v>289</v>
      </c>
      <c r="I51" s="9" t="s">
        <v>269</v>
      </c>
      <c r="J51" s="9" t="s">
        <v>417</v>
      </c>
      <c r="K51" s="9" t="s">
        <v>132</v>
      </c>
      <c r="L51" s="9" t="s">
        <v>411</v>
      </c>
      <c r="M51" s="9" t="s">
        <v>308</v>
      </c>
      <c r="N51" s="9" t="s">
        <v>308</v>
      </c>
      <c r="O51" s="9" t="s">
        <v>276</v>
      </c>
      <c r="P51" s="9" t="s">
        <v>276</v>
      </c>
      <c r="Q51" s="9" t="s">
        <v>277</v>
      </c>
      <c r="R51" s="9" t="s">
        <v>324</v>
      </c>
      <c r="T51" s="9" t="s">
        <v>363</v>
      </c>
      <c r="U51" s="9" t="s">
        <v>355</v>
      </c>
      <c r="V51" s="9" t="s">
        <v>316</v>
      </c>
      <c r="W51" s="9">
        <v>41.0</v>
      </c>
    </row>
    <row r="52">
      <c r="A52" s="9">
        <v>46.0</v>
      </c>
      <c r="B52" s="9" t="s">
        <v>99</v>
      </c>
      <c r="C52" s="9" t="s">
        <v>281</v>
      </c>
      <c r="D52" s="9">
        <v>8.0</v>
      </c>
      <c r="E52" s="9">
        <v>1.0</v>
      </c>
      <c r="G52" s="9" t="s">
        <v>269</v>
      </c>
      <c r="H52" s="9" t="s">
        <v>270</v>
      </c>
      <c r="I52" s="9" t="s">
        <v>269</v>
      </c>
      <c r="J52" s="9" t="s">
        <v>132</v>
      </c>
      <c r="K52" s="9" t="s">
        <v>132</v>
      </c>
      <c r="L52" s="9" t="s">
        <v>419</v>
      </c>
      <c r="M52" s="9" t="s">
        <v>324</v>
      </c>
      <c r="N52" s="9" t="s">
        <v>276</v>
      </c>
      <c r="O52" s="9" t="s">
        <v>285</v>
      </c>
      <c r="P52" s="9" t="s">
        <v>276</v>
      </c>
      <c r="Q52" s="9" t="s">
        <v>436</v>
      </c>
      <c r="R52" s="9" t="s">
        <v>285</v>
      </c>
      <c r="T52" s="9" t="s">
        <v>372</v>
      </c>
      <c r="U52" s="9" t="s">
        <v>278</v>
      </c>
      <c r="V52" s="9" t="s">
        <v>305</v>
      </c>
      <c r="W52" s="9">
        <v>36.0</v>
      </c>
    </row>
    <row r="53">
      <c r="A53" s="9">
        <v>102.0</v>
      </c>
      <c r="B53" s="9" t="s">
        <v>437</v>
      </c>
      <c r="C53" s="9" t="s">
        <v>386</v>
      </c>
      <c r="D53" s="9">
        <v>8.0</v>
      </c>
      <c r="E53" s="9">
        <v>1.0</v>
      </c>
      <c r="F53" s="9" t="s">
        <v>269</v>
      </c>
      <c r="G53" s="9" t="s">
        <v>269</v>
      </c>
      <c r="H53" s="9" t="s">
        <v>270</v>
      </c>
      <c r="I53" s="9" t="s">
        <v>271</v>
      </c>
      <c r="J53" s="9" t="s">
        <v>438</v>
      </c>
      <c r="K53" s="9" t="s">
        <v>132</v>
      </c>
      <c r="L53" s="9" t="s">
        <v>408</v>
      </c>
      <c r="M53" s="9" t="s">
        <v>308</v>
      </c>
      <c r="N53" s="9" t="s">
        <v>324</v>
      </c>
      <c r="O53" s="9" t="s">
        <v>276</v>
      </c>
      <c r="P53" s="9" t="s">
        <v>285</v>
      </c>
      <c r="Q53" s="9" t="s">
        <v>277</v>
      </c>
      <c r="R53" s="9" t="s">
        <v>304</v>
      </c>
      <c r="T53" s="9" t="s">
        <v>296</v>
      </c>
      <c r="U53" s="9" t="s">
        <v>329</v>
      </c>
      <c r="V53" s="9" t="s">
        <v>338</v>
      </c>
      <c r="W53" s="9">
        <v>44.0</v>
      </c>
    </row>
    <row r="54">
      <c r="A54" s="9">
        <v>56.0</v>
      </c>
      <c r="B54" s="9" t="s">
        <v>439</v>
      </c>
      <c r="C54" s="9" t="s">
        <v>294</v>
      </c>
      <c r="D54" s="9">
        <v>8.0</v>
      </c>
      <c r="E54" s="9">
        <v>1.0</v>
      </c>
      <c r="F54" s="9" t="s">
        <v>269</v>
      </c>
      <c r="G54" s="9" t="s">
        <v>269</v>
      </c>
      <c r="H54" s="9" t="s">
        <v>270</v>
      </c>
      <c r="I54" s="9" t="s">
        <v>269</v>
      </c>
      <c r="J54" s="9" t="s">
        <v>402</v>
      </c>
      <c r="K54" s="9" t="s">
        <v>132</v>
      </c>
      <c r="L54" s="9" t="s">
        <v>370</v>
      </c>
      <c r="M54" s="9" t="s">
        <v>324</v>
      </c>
      <c r="N54" s="9" t="s">
        <v>304</v>
      </c>
      <c r="O54" s="9" t="s">
        <v>324</v>
      </c>
      <c r="P54" s="9" t="s">
        <v>285</v>
      </c>
      <c r="Q54" s="9" t="s">
        <v>347</v>
      </c>
      <c r="R54" s="9" t="s">
        <v>304</v>
      </c>
      <c r="T54" s="9" t="s">
        <v>372</v>
      </c>
      <c r="U54" s="9" t="s">
        <v>295</v>
      </c>
      <c r="V54" s="9" t="s">
        <v>305</v>
      </c>
      <c r="W54" s="9">
        <v>31.0</v>
      </c>
    </row>
    <row r="55">
      <c r="A55" s="9">
        <v>123.0</v>
      </c>
      <c r="B55" s="9" t="s">
        <v>440</v>
      </c>
      <c r="C55" s="9" t="s">
        <v>281</v>
      </c>
      <c r="D55" s="9">
        <v>8.0</v>
      </c>
      <c r="E55" s="9">
        <v>1.0</v>
      </c>
      <c r="G55" s="9" t="s">
        <v>269</v>
      </c>
      <c r="H55" s="9" t="s">
        <v>270</v>
      </c>
      <c r="I55" s="9" t="s">
        <v>269</v>
      </c>
      <c r="J55" s="9" t="s">
        <v>381</v>
      </c>
      <c r="K55" s="9" t="s">
        <v>132</v>
      </c>
      <c r="L55" s="9" t="s">
        <v>441</v>
      </c>
      <c r="M55" s="9" t="s">
        <v>324</v>
      </c>
      <c r="N55" s="9" t="s">
        <v>304</v>
      </c>
      <c r="O55" s="9" t="s">
        <v>304</v>
      </c>
      <c r="P55" s="9" t="s">
        <v>285</v>
      </c>
      <c r="Q55" s="9" t="s">
        <v>347</v>
      </c>
      <c r="R55" s="9" t="s">
        <v>324</v>
      </c>
      <c r="T55" s="9" t="s">
        <v>278</v>
      </c>
      <c r="U55" s="9" t="s">
        <v>295</v>
      </c>
      <c r="V55" s="9" t="s">
        <v>338</v>
      </c>
      <c r="W55" s="9">
        <v>25.0</v>
      </c>
    </row>
    <row r="56">
      <c r="A56" s="9">
        <v>18.0</v>
      </c>
      <c r="B56" s="9" t="s">
        <v>442</v>
      </c>
      <c r="C56" s="9" t="s">
        <v>333</v>
      </c>
      <c r="D56" s="9">
        <v>9.0</v>
      </c>
      <c r="E56" s="9">
        <v>2.0</v>
      </c>
      <c r="F56" s="9" t="s">
        <v>269</v>
      </c>
      <c r="G56" s="9" t="s">
        <v>269</v>
      </c>
      <c r="H56" s="9" t="s">
        <v>282</v>
      </c>
      <c r="I56" s="9" t="s">
        <v>269</v>
      </c>
      <c r="J56" s="9" t="s">
        <v>413</v>
      </c>
      <c r="K56" s="9" t="s">
        <v>132</v>
      </c>
      <c r="L56" s="9" t="s">
        <v>443</v>
      </c>
      <c r="M56" s="9" t="s">
        <v>304</v>
      </c>
      <c r="N56" s="9" t="s">
        <v>284</v>
      </c>
      <c r="O56" s="9" t="s">
        <v>353</v>
      </c>
      <c r="P56" s="9" t="s">
        <v>275</v>
      </c>
      <c r="Q56" s="9" t="s">
        <v>347</v>
      </c>
      <c r="R56" s="9" t="s">
        <v>285</v>
      </c>
      <c r="T56" s="9" t="s">
        <v>363</v>
      </c>
      <c r="U56" s="9" t="s">
        <v>329</v>
      </c>
      <c r="V56" s="9" t="s">
        <v>316</v>
      </c>
      <c r="W56" s="9">
        <v>34.0</v>
      </c>
    </row>
    <row r="57">
      <c r="A57" s="9">
        <v>164.0</v>
      </c>
      <c r="B57" s="9" t="s">
        <v>444</v>
      </c>
      <c r="C57" s="9" t="s">
        <v>333</v>
      </c>
      <c r="D57" s="9">
        <v>9.0</v>
      </c>
      <c r="E57" s="9">
        <v>1.0</v>
      </c>
      <c r="F57" s="9" t="s">
        <v>269</v>
      </c>
      <c r="G57" s="9" t="s">
        <v>269</v>
      </c>
      <c r="H57" s="9" t="s">
        <v>270</v>
      </c>
      <c r="I57" s="9" t="s">
        <v>269</v>
      </c>
      <c r="J57" s="9" t="s">
        <v>445</v>
      </c>
      <c r="K57" s="9" t="s">
        <v>446</v>
      </c>
      <c r="L57" s="9" t="s">
        <v>300</v>
      </c>
      <c r="M57" s="9" t="s">
        <v>304</v>
      </c>
      <c r="N57" s="9" t="s">
        <v>308</v>
      </c>
      <c r="O57" s="9" t="s">
        <v>285</v>
      </c>
      <c r="P57" s="9" t="s">
        <v>285</v>
      </c>
      <c r="Q57" s="9" t="s">
        <v>436</v>
      </c>
      <c r="R57" s="9" t="s">
        <v>285</v>
      </c>
      <c r="T57" s="9" t="s">
        <v>295</v>
      </c>
      <c r="U57" s="9" t="s">
        <v>295</v>
      </c>
      <c r="V57" s="9" t="s">
        <v>286</v>
      </c>
      <c r="W57" s="9">
        <v>42.0</v>
      </c>
    </row>
    <row r="58">
      <c r="A58" s="9">
        <v>84.0</v>
      </c>
      <c r="B58" s="9" t="s">
        <v>447</v>
      </c>
      <c r="C58" s="9" t="s">
        <v>333</v>
      </c>
      <c r="D58" s="9">
        <v>9.0</v>
      </c>
      <c r="E58" s="9">
        <v>1.0</v>
      </c>
      <c r="F58" s="9" t="s">
        <v>269</v>
      </c>
      <c r="G58" s="9" t="s">
        <v>271</v>
      </c>
      <c r="H58" s="9" t="s">
        <v>270</v>
      </c>
      <c r="I58" s="9" t="s">
        <v>271</v>
      </c>
      <c r="J58" s="9" t="s">
        <v>352</v>
      </c>
      <c r="K58" s="9" t="s">
        <v>132</v>
      </c>
      <c r="L58" s="9" t="s">
        <v>307</v>
      </c>
      <c r="M58" s="9" t="s">
        <v>324</v>
      </c>
      <c r="N58" s="9" t="s">
        <v>275</v>
      </c>
      <c r="O58" s="9" t="s">
        <v>285</v>
      </c>
      <c r="P58" s="9" t="s">
        <v>285</v>
      </c>
      <c r="Q58" s="9" t="s">
        <v>448</v>
      </c>
      <c r="R58" s="9" t="s">
        <v>292</v>
      </c>
      <c r="T58" s="9" t="s">
        <v>329</v>
      </c>
      <c r="U58" s="9" t="s">
        <v>329</v>
      </c>
      <c r="V58" s="9" t="s">
        <v>331</v>
      </c>
      <c r="W58" s="9">
        <v>21.0</v>
      </c>
    </row>
    <row r="59">
      <c r="A59" s="9">
        <v>89.0</v>
      </c>
      <c r="B59" s="9" t="s">
        <v>449</v>
      </c>
      <c r="C59" s="9" t="s">
        <v>333</v>
      </c>
      <c r="D59" s="9">
        <v>9.0</v>
      </c>
      <c r="E59" s="9">
        <v>1.0</v>
      </c>
      <c r="G59" s="9" t="s">
        <v>269</v>
      </c>
      <c r="H59" s="9" t="s">
        <v>270</v>
      </c>
      <c r="I59" s="9" t="s">
        <v>269</v>
      </c>
      <c r="J59" s="9" t="s">
        <v>368</v>
      </c>
      <c r="K59" s="9" t="s">
        <v>132</v>
      </c>
      <c r="L59" s="9" t="s">
        <v>450</v>
      </c>
      <c r="M59" s="9" t="s">
        <v>308</v>
      </c>
      <c r="N59" s="9" t="s">
        <v>304</v>
      </c>
      <c r="O59" s="9" t="s">
        <v>308</v>
      </c>
      <c r="P59" s="9" t="s">
        <v>276</v>
      </c>
      <c r="Q59" s="9" t="s">
        <v>277</v>
      </c>
      <c r="R59" s="9" t="s">
        <v>284</v>
      </c>
      <c r="T59" s="9" t="s">
        <v>355</v>
      </c>
      <c r="U59" s="9" t="s">
        <v>295</v>
      </c>
      <c r="V59" s="9" t="s">
        <v>359</v>
      </c>
      <c r="W59" s="9">
        <v>34.0</v>
      </c>
    </row>
    <row r="60">
      <c r="A60" s="9">
        <v>94.0</v>
      </c>
      <c r="B60" s="9" t="s">
        <v>451</v>
      </c>
      <c r="C60" s="9" t="s">
        <v>386</v>
      </c>
      <c r="D60" s="9">
        <v>10.0</v>
      </c>
      <c r="E60" s="9">
        <v>1.0</v>
      </c>
      <c r="F60" s="9" t="s">
        <v>269</v>
      </c>
      <c r="G60" s="9" t="s">
        <v>269</v>
      </c>
      <c r="H60" s="9" t="s">
        <v>270</v>
      </c>
      <c r="I60" s="9" t="s">
        <v>271</v>
      </c>
      <c r="J60" s="9" t="s">
        <v>299</v>
      </c>
      <c r="K60" s="9" t="s">
        <v>132</v>
      </c>
      <c r="L60" s="9" t="s">
        <v>323</v>
      </c>
      <c r="M60" s="9" t="s">
        <v>362</v>
      </c>
      <c r="N60" s="9" t="s">
        <v>304</v>
      </c>
      <c r="O60" s="9" t="s">
        <v>285</v>
      </c>
      <c r="P60" s="9" t="s">
        <v>304</v>
      </c>
      <c r="Q60" s="9" t="s">
        <v>321</v>
      </c>
      <c r="R60" s="9" t="s">
        <v>371</v>
      </c>
      <c r="T60" s="9" t="s">
        <v>363</v>
      </c>
      <c r="U60" s="9" t="s">
        <v>452</v>
      </c>
      <c r="V60" s="9" t="s">
        <v>371</v>
      </c>
      <c r="W60" s="9">
        <v>50.0</v>
      </c>
    </row>
    <row r="61">
      <c r="A61" s="9">
        <v>75.0</v>
      </c>
      <c r="B61" s="9" t="s">
        <v>453</v>
      </c>
      <c r="C61" s="9" t="s">
        <v>268</v>
      </c>
      <c r="D61" s="9">
        <v>10.0</v>
      </c>
      <c r="E61" s="9">
        <v>1.0</v>
      </c>
      <c r="G61" s="9" t="s">
        <v>269</v>
      </c>
      <c r="H61" s="9" t="s">
        <v>270</v>
      </c>
      <c r="I61" s="9" t="s">
        <v>269</v>
      </c>
      <c r="J61" s="9" t="s">
        <v>340</v>
      </c>
      <c r="K61" s="9" t="s">
        <v>132</v>
      </c>
      <c r="L61" s="9" t="s">
        <v>454</v>
      </c>
      <c r="M61" s="9" t="s">
        <v>371</v>
      </c>
      <c r="N61" s="9" t="s">
        <v>304</v>
      </c>
      <c r="O61" s="9" t="s">
        <v>324</v>
      </c>
      <c r="P61" s="9" t="s">
        <v>362</v>
      </c>
      <c r="Q61" s="9" t="s">
        <v>321</v>
      </c>
      <c r="R61" s="9" t="s">
        <v>387</v>
      </c>
      <c r="T61" s="9" t="s">
        <v>363</v>
      </c>
      <c r="U61" s="9" t="s">
        <v>372</v>
      </c>
      <c r="V61" s="9" t="s">
        <v>309</v>
      </c>
      <c r="W61" s="9">
        <v>27.0</v>
      </c>
    </row>
    <row r="62">
      <c r="A62" s="9">
        <v>189.0</v>
      </c>
      <c r="B62" s="9" t="s">
        <v>455</v>
      </c>
      <c r="C62" s="9" t="s">
        <v>333</v>
      </c>
      <c r="D62" s="9">
        <v>10.0</v>
      </c>
      <c r="E62" s="9">
        <v>1.0</v>
      </c>
      <c r="G62" s="9" t="s">
        <v>269</v>
      </c>
      <c r="H62" s="9" t="s">
        <v>289</v>
      </c>
      <c r="I62" s="9" t="s">
        <v>269</v>
      </c>
      <c r="J62" s="9" t="s">
        <v>456</v>
      </c>
      <c r="K62" s="9" t="s">
        <v>132</v>
      </c>
      <c r="L62" s="9" t="s">
        <v>443</v>
      </c>
      <c r="M62" s="9">
        <v>0.0</v>
      </c>
      <c r="N62" s="9" t="s">
        <v>304</v>
      </c>
      <c r="O62" s="9" t="s">
        <v>277</v>
      </c>
      <c r="P62" s="9" t="s">
        <v>304</v>
      </c>
      <c r="Q62" s="9" t="s">
        <v>457</v>
      </c>
      <c r="R62" s="9" t="s">
        <v>286</v>
      </c>
      <c r="T62" s="9" t="s">
        <v>296</v>
      </c>
      <c r="U62" s="9" t="s">
        <v>329</v>
      </c>
      <c r="V62" s="9" t="s">
        <v>316</v>
      </c>
      <c r="W62" s="9">
        <v>39.0</v>
      </c>
    </row>
    <row r="63">
      <c r="A63" s="9">
        <v>200.0</v>
      </c>
      <c r="B63" s="9" t="s">
        <v>458</v>
      </c>
      <c r="C63" s="9" t="s">
        <v>281</v>
      </c>
      <c r="D63" s="9">
        <v>10.0</v>
      </c>
      <c r="E63" s="9">
        <v>1.0</v>
      </c>
      <c r="G63" s="9" t="s">
        <v>269</v>
      </c>
      <c r="H63" s="9" t="s">
        <v>289</v>
      </c>
      <c r="I63" s="9" t="s">
        <v>269</v>
      </c>
      <c r="J63" s="9" t="s">
        <v>132</v>
      </c>
      <c r="K63" s="9" t="s">
        <v>132</v>
      </c>
      <c r="L63" s="9" t="s">
        <v>408</v>
      </c>
      <c r="M63" s="9" t="s">
        <v>304</v>
      </c>
      <c r="N63" s="9" t="s">
        <v>371</v>
      </c>
      <c r="O63" s="9" t="s">
        <v>308</v>
      </c>
      <c r="P63" s="9" t="s">
        <v>324</v>
      </c>
      <c r="Q63" s="9" t="s">
        <v>347</v>
      </c>
      <c r="R63" s="9" t="s">
        <v>286</v>
      </c>
      <c r="T63" s="9" t="s">
        <v>355</v>
      </c>
      <c r="U63" s="9" t="s">
        <v>355</v>
      </c>
      <c r="V63" s="9" t="s">
        <v>338</v>
      </c>
      <c r="W63" s="9">
        <v>29.0</v>
      </c>
    </row>
    <row r="64">
      <c r="A64" s="9">
        <v>125.0</v>
      </c>
      <c r="B64" s="9" t="s">
        <v>459</v>
      </c>
      <c r="C64" s="9" t="s">
        <v>268</v>
      </c>
      <c r="D64" s="9">
        <v>10.0</v>
      </c>
      <c r="E64" s="9">
        <v>1.0</v>
      </c>
      <c r="G64" s="9" t="s">
        <v>271</v>
      </c>
      <c r="H64" s="9" t="s">
        <v>270</v>
      </c>
      <c r="I64" s="9" t="s">
        <v>269</v>
      </c>
      <c r="J64" s="9" t="s">
        <v>413</v>
      </c>
      <c r="K64" s="9" t="s">
        <v>132</v>
      </c>
      <c r="L64" s="9" t="s">
        <v>460</v>
      </c>
      <c r="M64" s="9" t="s">
        <v>286</v>
      </c>
      <c r="N64" s="9" t="s">
        <v>284</v>
      </c>
      <c r="O64" s="9" t="s">
        <v>362</v>
      </c>
      <c r="P64" s="9" t="s">
        <v>276</v>
      </c>
      <c r="Q64" s="9" t="s">
        <v>277</v>
      </c>
      <c r="R64" s="9" t="s">
        <v>275</v>
      </c>
      <c r="T64" s="9" t="s">
        <v>295</v>
      </c>
      <c r="U64" s="9" t="s">
        <v>296</v>
      </c>
      <c r="V64" s="9" t="s">
        <v>305</v>
      </c>
      <c r="W64" s="9">
        <v>42.0</v>
      </c>
    </row>
    <row r="65">
      <c r="A65" s="9">
        <v>64.0</v>
      </c>
      <c r="B65" s="9" t="s">
        <v>461</v>
      </c>
      <c r="C65" s="9" t="s">
        <v>333</v>
      </c>
      <c r="D65" s="9">
        <v>10.0</v>
      </c>
      <c r="E65" s="9">
        <v>1.0</v>
      </c>
      <c r="F65" s="9" t="s">
        <v>269</v>
      </c>
      <c r="G65" s="9" t="s">
        <v>269</v>
      </c>
      <c r="H65" s="9" t="s">
        <v>270</v>
      </c>
      <c r="I65" s="9" t="s">
        <v>269</v>
      </c>
      <c r="J65" s="9" t="s">
        <v>299</v>
      </c>
      <c r="K65" s="9" t="s">
        <v>132</v>
      </c>
      <c r="L65" s="9" t="s">
        <v>399</v>
      </c>
      <c r="M65" s="9" t="s">
        <v>308</v>
      </c>
      <c r="N65" s="9" t="s">
        <v>371</v>
      </c>
      <c r="O65" s="9" t="s">
        <v>304</v>
      </c>
      <c r="P65" s="9" t="s">
        <v>285</v>
      </c>
      <c r="Q65" s="9" t="s">
        <v>321</v>
      </c>
      <c r="R65" s="9" t="s">
        <v>276</v>
      </c>
      <c r="T65" s="9" t="s">
        <v>462</v>
      </c>
      <c r="U65" s="9" t="s">
        <v>372</v>
      </c>
      <c r="V65" s="9" t="s">
        <v>338</v>
      </c>
      <c r="W65" s="9">
        <v>55.0</v>
      </c>
    </row>
    <row r="66">
      <c r="A66" s="9">
        <v>62.0</v>
      </c>
      <c r="B66" s="9" t="s">
        <v>463</v>
      </c>
      <c r="C66" s="9" t="s">
        <v>268</v>
      </c>
      <c r="D66" s="9">
        <v>10.0</v>
      </c>
      <c r="E66" s="9">
        <v>1.0</v>
      </c>
      <c r="F66" s="9" t="s">
        <v>269</v>
      </c>
      <c r="G66" s="9" t="s">
        <v>269</v>
      </c>
      <c r="H66" s="9" t="s">
        <v>270</v>
      </c>
      <c r="I66" s="9" t="s">
        <v>269</v>
      </c>
      <c r="J66" s="9" t="s">
        <v>299</v>
      </c>
      <c r="K66" s="9" t="s">
        <v>132</v>
      </c>
      <c r="L66" s="9" t="s">
        <v>419</v>
      </c>
      <c r="M66" s="9" t="s">
        <v>308</v>
      </c>
      <c r="N66" s="9" t="s">
        <v>304</v>
      </c>
      <c r="O66" s="9" t="s">
        <v>371</v>
      </c>
      <c r="P66" s="9" t="s">
        <v>276</v>
      </c>
      <c r="Q66" s="9" t="s">
        <v>347</v>
      </c>
      <c r="R66" s="9" t="s">
        <v>286</v>
      </c>
      <c r="T66" s="9" t="s">
        <v>373</v>
      </c>
      <c r="U66" s="9" t="s">
        <v>278</v>
      </c>
      <c r="V66" s="9" t="s">
        <v>309</v>
      </c>
      <c r="W66" s="9">
        <v>23.0</v>
      </c>
    </row>
    <row r="67">
      <c r="A67" s="9">
        <v>121.0</v>
      </c>
      <c r="B67" s="9" t="s">
        <v>464</v>
      </c>
      <c r="C67" s="9" t="s">
        <v>268</v>
      </c>
      <c r="D67" s="9">
        <v>10.0</v>
      </c>
      <c r="E67" s="9">
        <v>2.0</v>
      </c>
      <c r="G67" s="9" t="s">
        <v>269</v>
      </c>
      <c r="H67" s="9" t="s">
        <v>289</v>
      </c>
      <c r="I67" s="9" t="s">
        <v>269</v>
      </c>
      <c r="J67" s="9" t="s">
        <v>132</v>
      </c>
      <c r="K67" s="9" t="s">
        <v>132</v>
      </c>
      <c r="L67" s="9" t="s">
        <v>408</v>
      </c>
      <c r="M67" s="9" t="s">
        <v>308</v>
      </c>
      <c r="N67" s="9" t="s">
        <v>304</v>
      </c>
      <c r="O67" s="9" t="s">
        <v>362</v>
      </c>
      <c r="P67" s="9" t="s">
        <v>362</v>
      </c>
      <c r="Q67" s="9" t="s">
        <v>321</v>
      </c>
      <c r="R67" s="9" t="s">
        <v>465</v>
      </c>
      <c r="T67" s="9" t="s">
        <v>278</v>
      </c>
      <c r="U67" s="9" t="s">
        <v>296</v>
      </c>
      <c r="V67" s="9" t="s">
        <v>356</v>
      </c>
      <c r="W67" s="9">
        <v>30.0</v>
      </c>
    </row>
    <row r="68">
      <c r="A68" s="9">
        <v>76.0</v>
      </c>
      <c r="B68" s="9" t="s">
        <v>466</v>
      </c>
      <c r="C68" s="9" t="s">
        <v>333</v>
      </c>
      <c r="D68" s="9">
        <v>11.0</v>
      </c>
      <c r="E68" s="9">
        <v>1.0</v>
      </c>
      <c r="G68" s="9" t="s">
        <v>269</v>
      </c>
      <c r="H68" s="9" t="s">
        <v>270</v>
      </c>
      <c r="I68" s="9" t="s">
        <v>269</v>
      </c>
      <c r="J68" s="9" t="s">
        <v>467</v>
      </c>
      <c r="K68" s="9" t="s">
        <v>132</v>
      </c>
      <c r="L68" s="9" t="s">
        <v>443</v>
      </c>
      <c r="M68" s="9" t="s">
        <v>371</v>
      </c>
      <c r="N68" s="9" t="s">
        <v>362</v>
      </c>
      <c r="O68" s="9" t="s">
        <v>371</v>
      </c>
      <c r="P68" s="9" t="s">
        <v>276</v>
      </c>
      <c r="Q68" s="9" t="s">
        <v>347</v>
      </c>
      <c r="R68" s="9" t="s">
        <v>371</v>
      </c>
      <c r="T68" s="9" t="s">
        <v>363</v>
      </c>
      <c r="U68" s="9" t="s">
        <v>296</v>
      </c>
      <c r="V68" s="9" t="s">
        <v>338</v>
      </c>
      <c r="W68" s="9">
        <v>53.0</v>
      </c>
    </row>
    <row r="69">
      <c r="A69" s="9">
        <v>111.0</v>
      </c>
      <c r="B69" s="9" t="s">
        <v>468</v>
      </c>
      <c r="C69" s="9" t="s">
        <v>333</v>
      </c>
      <c r="D69" s="9">
        <v>11.0</v>
      </c>
      <c r="E69" s="9">
        <v>1.0</v>
      </c>
      <c r="F69" s="9" t="s">
        <v>269</v>
      </c>
      <c r="G69" s="9" t="s">
        <v>269</v>
      </c>
      <c r="H69" s="9" t="s">
        <v>289</v>
      </c>
      <c r="I69" s="9" t="s">
        <v>269</v>
      </c>
      <c r="J69" s="9" t="s">
        <v>469</v>
      </c>
      <c r="K69" s="9" t="s">
        <v>132</v>
      </c>
      <c r="L69" s="9" t="s">
        <v>454</v>
      </c>
      <c r="M69" s="9" t="s">
        <v>308</v>
      </c>
      <c r="N69" s="9" t="s">
        <v>371</v>
      </c>
      <c r="O69" s="9" t="s">
        <v>324</v>
      </c>
      <c r="P69" s="9" t="s">
        <v>362</v>
      </c>
      <c r="Q69" s="9" t="s">
        <v>347</v>
      </c>
      <c r="R69" s="9" t="s">
        <v>465</v>
      </c>
      <c r="T69" s="9" t="s">
        <v>355</v>
      </c>
      <c r="U69" s="9" t="s">
        <v>372</v>
      </c>
      <c r="V69" s="9" t="s">
        <v>316</v>
      </c>
      <c r="W69" s="9">
        <v>60.0</v>
      </c>
    </row>
    <row r="70">
      <c r="A70" s="9">
        <v>116.0</v>
      </c>
      <c r="B70" s="9" t="s">
        <v>470</v>
      </c>
      <c r="C70" s="9" t="s">
        <v>281</v>
      </c>
      <c r="D70" s="9">
        <v>12.0</v>
      </c>
      <c r="E70" s="9">
        <v>1.0</v>
      </c>
      <c r="G70" s="9" t="s">
        <v>269</v>
      </c>
      <c r="H70" s="9" t="s">
        <v>270</v>
      </c>
      <c r="I70" s="9" t="s">
        <v>269</v>
      </c>
      <c r="J70" s="9" t="s">
        <v>132</v>
      </c>
      <c r="K70" s="9" t="s">
        <v>132</v>
      </c>
      <c r="L70" s="9" t="s">
        <v>408</v>
      </c>
      <c r="M70" s="9" t="s">
        <v>304</v>
      </c>
      <c r="N70" s="9" t="s">
        <v>308</v>
      </c>
      <c r="O70" s="9" t="s">
        <v>308</v>
      </c>
      <c r="P70" s="9" t="s">
        <v>276</v>
      </c>
      <c r="Q70" s="9" t="s">
        <v>448</v>
      </c>
      <c r="R70" s="9" t="s">
        <v>276</v>
      </c>
      <c r="T70" s="9" t="s">
        <v>278</v>
      </c>
      <c r="U70" s="9" t="s">
        <v>372</v>
      </c>
      <c r="V70" s="9" t="s">
        <v>305</v>
      </c>
      <c r="W70" s="9">
        <v>38.0</v>
      </c>
    </row>
    <row r="71">
      <c r="A71" s="9">
        <v>47.0</v>
      </c>
      <c r="B71" s="9" t="s">
        <v>471</v>
      </c>
      <c r="C71" s="9" t="s">
        <v>333</v>
      </c>
      <c r="D71" s="9">
        <v>12.0</v>
      </c>
      <c r="E71" s="9">
        <v>1.0</v>
      </c>
      <c r="G71" s="9" t="s">
        <v>269</v>
      </c>
      <c r="H71" s="9" t="s">
        <v>270</v>
      </c>
      <c r="I71" s="9" t="s">
        <v>269</v>
      </c>
      <c r="J71" s="9" t="s">
        <v>378</v>
      </c>
      <c r="K71" s="9" t="s">
        <v>132</v>
      </c>
      <c r="L71" s="9" t="s">
        <v>472</v>
      </c>
      <c r="M71" s="9" t="s">
        <v>473</v>
      </c>
      <c r="N71" s="9" t="s">
        <v>276</v>
      </c>
      <c r="O71" s="9" t="s">
        <v>286</v>
      </c>
      <c r="P71" s="9" t="s">
        <v>275</v>
      </c>
      <c r="Q71" s="9" t="s">
        <v>321</v>
      </c>
      <c r="R71" s="9" t="s">
        <v>362</v>
      </c>
      <c r="T71" s="9" t="s">
        <v>474</v>
      </c>
      <c r="U71" s="9" t="s">
        <v>363</v>
      </c>
      <c r="V71" s="9" t="s">
        <v>338</v>
      </c>
      <c r="W71" s="9">
        <v>60.0</v>
      </c>
    </row>
    <row r="72">
      <c r="A72" s="9">
        <v>80.0</v>
      </c>
      <c r="B72" s="9" t="s">
        <v>475</v>
      </c>
      <c r="C72" s="9" t="s">
        <v>333</v>
      </c>
      <c r="D72" s="9">
        <v>13.0</v>
      </c>
      <c r="E72" s="9">
        <v>2.0</v>
      </c>
      <c r="F72" s="9" t="s">
        <v>269</v>
      </c>
      <c r="G72" s="9" t="s">
        <v>269</v>
      </c>
      <c r="H72" s="9" t="s">
        <v>270</v>
      </c>
      <c r="I72" s="9" t="s">
        <v>271</v>
      </c>
      <c r="J72" s="9" t="s">
        <v>438</v>
      </c>
      <c r="K72" s="9" t="s">
        <v>132</v>
      </c>
      <c r="L72" s="9" t="s">
        <v>431</v>
      </c>
      <c r="M72" s="9" t="s">
        <v>308</v>
      </c>
      <c r="N72" s="9" t="s">
        <v>308</v>
      </c>
      <c r="O72" s="9" t="s">
        <v>308</v>
      </c>
      <c r="P72" s="9" t="s">
        <v>285</v>
      </c>
      <c r="Q72" s="9" t="s">
        <v>347</v>
      </c>
      <c r="R72" s="9" t="s">
        <v>285</v>
      </c>
      <c r="T72" s="9" t="s">
        <v>329</v>
      </c>
      <c r="U72" s="9" t="s">
        <v>295</v>
      </c>
      <c r="V72" s="9" t="s">
        <v>476</v>
      </c>
      <c r="W72" s="9">
        <v>48.0</v>
      </c>
    </row>
    <row r="73">
      <c r="A73" s="9">
        <v>61.0</v>
      </c>
      <c r="B73" s="9" t="s">
        <v>477</v>
      </c>
      <c r="C73" s="9" t="s">
        <v>281</v>
      </c>
      <c r="D73" s="9">
        <v>13.0</v>
      </c>
      <c r="E73" s="9">
        <v>1.0</v>
      </c>
      <c r="F73" s="9" t="s">
        <v>269</v>
      </c>
      <c r="G73" s="9" t="s">
        <v>269</v>
      </c>
      <c r="H73" s="9" t="s">
        <v>270</v>
      </c>
      <c r="I73" s="9" t="s">
        <v>269</v>
      </c>
      <c r="J73" s="9" t="s">
        <v>478</v>
      </c>
      <c r="K73" s="9" t="s">
        <v>132</v>
      </c>
      <c r="L73" s="9" t="s">
        <v>479</v>
      </c>
      <c r="M73" s="9" t="s">
        <v>371</v>
      </c>
      <c r="N73" s="9" t="s">
        <v>304</v>
      </c>
      <c r="O73" s="9" t="s">
        <v>465</v>
      </c>
      <c r="P73" s="9" t="s">
        <v>276</v>
      </c>
      <c r="Q73" s="9" t="s">
        <v>321</v>
      </c>
      <c r="R73" s="9" t="s">
        <v>387</v>
      </c>
      <c r="T73" s="9" t="s">
        <v>480</v>
      </c>
      <c r="U73" s="9" t="s">
        <v>372</v>
      </c>
      <c r="V73" s="9" t="s">
        <v>309</v>
      </c>
      <c r="W73" s="9">
        <v>60.0</v>
      </c>
    </row>
    <row r="74">
      <c r="A74" s="9">
        <v>198.0</v>
      </c>
      <c r="B74" s="9" t="s">
        <v>481</v>
      </c>
      <c r="C74" s="9" t="s">
        <v>386</v>
      </c>
      <c r="D74" s="9">
        <v>13.0</v>
      </c>
      <c r="E74" s="9">
        <v>2.0</v>
      </c>
      <c r="F74" s="9" t="s">
        <v>269</v>
      </c>
      <c r="G74" s="9" t="s">
        <v>269</v>
      </c>
      <c r="H74" s="9" t="s">
        <v>270</v>
      </c>
      <c r="I74" s="9" t="s">
        <v>271</v>
      </c>
      <c r="J74" s="9" t="s">
        <v>132</v>
      </c>
      <c r="K74" s="9" t="s">
        <v>132</v>
      </c>
      <c r="L74" s="9" t="s">
        <v>482</v>
      </c>
      <c r="M74" s="9" t="s">
        <v>324</v>
      </c>
      <c r="N74" s="9" t="s">
        <v>324</v>
      </c>
      <c r="O74" s="9" t="s">
        <v>324</v>
      </c>
      <c r="P74" s="9" t="s">
        <v>362</v>
      </c>
      <c r="Q74" s="9" t="s">
        <v>321</v>
      </c>
      <c r="R74" s="9" t="s">
        <v>324</v>
      </c>
      <c r="T74" s="9" t="s">
        <v>329</v>
      </c>
      <c r="U74" s="9" t="s">
        <v>372</v>
      </c>
      <c r="V74" s="9" t="s">
        <v>465</v>
      </c>
      <c r="W74" s="9">
        <v>47.0</v>
      </c>
    </row>
    <row r="75">
      <c r="A75" s="9">
        <v>166.0</v>
      </c>
      <c r="B75" s="9" t="s">
        <v>483</v>
      </c>
      <c r="C75" s="9" t="s">
        <v>268</v>
      </c>
      <c r="D75" s="9">
        <v>13.0</v>
      </c>
      <c r="E75" s="9">
        <v>1.0</v>
      </c>
      <c r="G75" s="9" t="s">
        <v>269</v>
      </c>
      <c r="H75" s="9" t="s">
        <v>270</v>
      </c>
      <c r="I75" s="9" t="s">
        <v>269</v>
      </c>
      <c r="J75" s="9" t="s">
        <v>484</v>
      </c>
      <c r="K75" s="9" t="s">
        <v>132</v>
      </c>
      <c r="L75" s="9" t="s">
        <v>399</v>
      </c>
      <c r="M75" s="9" t="s">
        <v>371</v>
      </c>
      <c r="N75" s="9" t="s">
        <v>324</v>
      </c>
      <c r="O75" s="9" t="s">
        <v>304</v>
      </c>
      <c r="P75" s="9" t="s">
        <v>285</v>
      </c>
      <c r="Q75" s="9" t="s">
        <v>485</v>
      </c>
      <c r="R75" s="9" t="s">
        <v>371</v>
      </c>
      <c r="T75" s="9" t="s">
        <v>486</v>
      </c>
      <c r="U75" s="9" t="s">
        <v>363</v>
      </c>
      <c r="V75" s="9" t="s">
        <v>338</v>
      </c>
      <c r="W75" s="9">
        <v>31.0</v>
      </c>
    </row>
    <row r="76">
      <c r="A76" s="9">
        <v>66.0</v>
      </c>
      <c r="B76" s="9" t="s">
        <v>487</v>
      </c>
      <c r="C76" s="9" t="s">
        <v>333</v>
      </c>
      <c r="D76" s="9">
        <v>13.0</v>
      </c>
      <c r="E76" s="9">
        <v>1.0</v>
      </c>
      <c r="G76" s="9" t="s">
        <v>269</v>
      </c>
      <c r="H76" s="9" t="s">
        <v>289</v>
      </c>
      <c r="I76" s="9" t="s">
        <v>271</v>
      </c>
      <c r="J76" s="9" t="s">
        <v>132</v>
      </c>
      <c r="K76" s="9" t="s">
        <v>132</v>
      </c>
      <c r="L76" s="9" t="s">
        <v>488</v>
      </c>
      <c r="M76" s="9" t="s">
        <v>371</v>
      </c>
      <c r="N76" s="9" t="s">
        <v>324</v>
      </c>
      <c r="O76" s="9" t="s">
        <v>465</v>
      </c>
      <c r="P76" s="9" t="s">
        <v>284</v>
      </c>
      <c r="Q76" s="9" t="s">
        <v>347</v>
      </c>
      <c r="R76" s="9" t="s">
        <v>387</v>
      </c>
      <c r="T76" s="9" t="s">
        <v>480</v>
      </c>
      <c r="U76" s="9" t="s">
        <v>295</v>
      </c>
      <c r="V76" s="9" t="s">
        <v>316</v>
      </c>
      <c r="W76" s="9">
        <v>38.0</v>
      </c>
    </row>
    <row r="77">
      <c r="A77" s="9">
        <v>10.0</v>
      </c>
      <c r="B77" s="9" t="s">
        <v>489</v>
      </c>
      <c r="C77" s="9" t="s">
        <v>386</v>
      </c>
      <c r="D77" s="9">
        <v>13.0</v>
      </c>
      <c r="E77" s="9">
        <v>2.0</v>
      </c>
      <c r="F77" s="9" t="s">
        <v>269</v>
      </c>
      <c r="G77" s="9" t="s">
        <v>269</v>
      </c>
      <c r="H77" s="9" t="s">
        <v>270</v>
      </c>
      <c r="I77" s="9" t="s">
        <v>271</v>
      </c>
      <c r="J77" s="9" t="s">
        <v>132</v>
      </c>
      <c r="K77" s="9" t="s">
        <v>319</v>
      </c>
      <c r="L77" s="9" t="s">
        <v>488</v>
      </c>
      <c r="M77" s="9" t="s">
        <v>324</v>
      </c>
      <c r="N77" s="9" t="s">
        <v>324</v>
      </c>
      <c r="O77" s="9" t="s">
        <v>324</v>
      </c>
      <c r="P77" s="9" t="s">
        <v>362</v>
      </c>
      <c r="Q77" s="9" t="s">
        <v>321</v>
      </c>
      <c r="R77" s="9" t="s">
        <v>324</v>
      </c>
      <c r="T77" s="9" t="s">
        <v>329</v>
      </c>
      <c r="U77" s="9" t="s">
        <v>295</v>
      </c>
      <c r="V77" s="9" t="s">
        <v>465</v>
      </c>
      <c r="W77" s="9">
        <v>53.0</v>
      </c>
    </row>
    <row r="78">
      <c r="A78" s="9">
        <v>77.0</v>
      </c>
      <c r="B78" s="9" t="s">
        <v>490</v>
      </c>
      <c r="C78" s="9" t="s">
        <v>333</v>
      </c>
      <c r="D78" s="9">
        <v>14.0</v>
      </c>
      <c r="E78" s="9">
        <v>1.0</v>
      </c>
      <c r="G78" s="9" t="s">
        <v>269</v>
      </c>
      <c r="H78" s="9" t="s">
        <v>270</v>
      </c>
      <c r="I78" s="9" t="s">
        <v>269</v>
      </c>
      <c r="J78" s="9" t="s">
        <v>381</v>
      </c>
      <c r="K78" s="9" t="s">
        <v>132</v>
      </c>
      <c r="L78" s="9" t="s">
        <v>488</v>
      </c>
      <c r="M78" s="9" t="s">
        <v>338</v>
      </c>
      <c r="N78" s="9" t="s">
        <v>304</v>
      </c>
      <c r="O78" s="9" t="s">
        <v>308</v>
      </c>
      <c r="P78" s="9" t="s">
        <v>285</v>
      </c>
      <c r="Q78" s="9" t="s">
        <v>321</v>
      </c>
      <c r="R78" s="9" t="s">
        <v>371</v>
      </c>
      <c r="T78" s="9" t="s">
        <v>480</v>
      </c>
      <c r="U78" s="9" t="s">
        <v>355</v>
      </c>
      <c r="V78" s="9" t="s">
        <v>359</v>
      </c>
      <c r="W78" s="9">
        <v>62.0</v>
      </c>
    </row>
    <row r="79">
      <c r="A79" s="9">
        <v>63.0</v>
      </c>
      <c r="B79" s="9" t="s">
        <v>491</v>
      </c>
      <c r="C79" s="9" t="s">
        <v>268</v>
      </c>
      <c r="D79" s="9">
        <v>14.0</v>
      </c>
      <c r="E79" s="9">
        <v>1.0</v>
      </c>
      <c r="G79" s="9" t="s">
        <v>269</v>
      </c>
      <c r="H79" s="9" t="s">
        <v>289</v>
      </c>
      <c r="I79" s="9" t="s">
        <v>269</v>
      </c>
      <c r="J79" s="9" t="s">
        <v>374</v>
      </c>
      <c r="K79" s="9" t="s">
        <v>132</v>
      </c>
      <c r="L79" s="9" t="s">
        <v>492</v>
      </c>
      <c r="M79" s="9" t="s">
        <v>371</v>
      </c>
      <c r="N79" s="9" t="s">
        <v>324</v>
      </c>
      <c r="O79" s="9" t="s">
        <v>286</v>
      </c>
      <c r="P79" s="9" t="s">
        <v>276</v>
      </c>
      <c r="Q79" s="9" t="s">
        <v>321</v>
      </c>
      <c r="R79" s="9" t="s">
        <v>324</v>
      </c>
      <c r="T79" s="9" t="s">
        <v>355</v>
      </c>
      <c r="U79" s="9" t="s">
        <v>295</v>
      </c>
      <c r="V79" s="9" t="s">
        <v>297</v>
      </c>
      <c r="W79" s="9">
        <v>47.0</v>
      </c>
    </row>
    <row r="80">
      <c r="A80" s="9">
        <v>193.0</v>
      </c>
      <c r="B80" s="9" t="s">
        <v>493</v>
      </c>
      <c r="C80" s="9" t="s">
        <v>333</v>
      </c>
      <c r="D80" s="9">
        <v>14.0</v>
      </c>
      <c r="E80" s="9">
        <v>1.0</v>
      </c>
      <c r="G80" s="9" t="s">
        <v>269</v>
      </c>
      <c r="H80" s="9" t="s">
        <v>270</v>
      </c>
      <c r="I80" s="9" t="s">
        <v>269</v>
      </c>
      <c r="J80" s="9" t="s">
        <v>494</v>
      </c>
      <c r="K80" s="9" t="s">
        <v>495</v>
      </c>
      <c r="L80" s="9" t="s">
        <v>496</v>
      </c>
      <c r="M80" s="9" t="s">
        <v>308</v>
      </c>
      <c r="N80" s="9" t="s">
        <v>305</v>
      </c>
      <c r="O80" s="9" t="s">
        <v>308</v>
      </c>
      <c r="P80" s="9" t="s">
        <v>276</v>
      </c>
      <c r="Q80" s="9" t="s">
        <v>277</v>
      </c>
      <c r="R80" s="9" t="s">
        <v>304</v>
      </c>
      <c r="T80" s="9" t="s">
        <v>296</v>
      </c>
      <c r="U80" s="9" t="s">
        <v>452</v>
      </c>
      <c r="V80" s="9" t="s">
        <v>338</v>
      </c>
      <c r="W80" s="9">
        <v>59.0</v>
      </c>
    </row>
    <row r="81">
      <c r="A81" s="9">
        <v>90.0</v>
      </c>
      <c r="B81" s="9" t="s">
        <v>19</v>
      </c>
      <c r="C81" s="9" t="s">
        <v>294</v>
      </c>
      <c r="D81" s="9">
        <v>14.0</v>
      </c>
      <c r="E81" s="9">
        <v>1.0</v>
      </c>
      <c r="F81" s="9" t="s">
        <v>271</v>
      </c>
      <c r="G81" s="9" t="s">
        <v>497</v>
      </c>
      <c r="H81" s="9" t="s">
        <v>270</v>
      </c>
      <c r="I81" s="9" t="s">
        <v>269</v>
      </c>
      <c r="J81" s="9" t="s">
        <v>425</v>
      </c>
      <c r="K81" s="9" t="s">
        <v>132</v>
      </c>
      <c r="L81" s="9" t="s">
        <v>419</v>
      </c>
      <c r="M81" s="9" t="s">
        <v>286</v>
      </c>
      <c r="N81" s="9" t="s">
        <v>465</v>
      </c>
      <c r="O81" s="9" t="s">
        <v>304</v>
      </c>
      <c r="P81" s="9" t="s">
        <v>285</v>
      </c>
      <c r="Q81" s="9" t="s">
        <v>277</v>
      </c>
      <c r="R81" s="9" t="s">
        <v>387</v>
      </c>
      <c r="T81" s="9" t="s">
        <v>498</v>
      </c>
      <c r="U81" s="9" t="s">
        <v>480</v>
      </c>
      <c r="V81" s="9" t="s">
        <v>297</v>
      </c>
      <c r="W81" s="9">
        <v>70.0</v>
      </c>
    </row>
    <row r="82">
      <c r="A82" s="9">
        <v>196.0</v>
      </c>
      <c r="B82" s="9" t="s">
        <v>499</v>
      </c>
      <c r="C82" s="9" t="s">
        <v>288</v>
      </c>
      <c r="D82" s="9">
        <v>14.0</v>
      </c>
      <c r="E82" s="9">
        <v>2.0</v>
      </c>
      <c r="G82" s="9" t="s">
        <v>271</v>
      </c>
      <c r="H82" s="9" t="s">
        <v>282</v>
      </c>
      <c r="I82" s="9" t="s">
        <v>271</v>
      </c>
      <c r="J82" s="9" t="s">
        <v>132</v>
      </c>
      <c r="K82" s="9" t="s">
        <v>132</v>
      </c>
      <c r="L82" s="9" t="s">
        <v>358</v>
      </c>
      <c r="M82" s="9" t="s">
        <v>465</v>
      </c>
      <c r="N82" s="9" t="s">
        <v>285</v>
      </c>
      <c r="O82" s="9" t="s">
        <v>371</v>
      </c>
      <c r="P82" s="9" t="s">
        <v>371</v>
      </c>
      <c r="Q82" s="9" t="s">
        <v>347</v>
      </c>
      <c r="R82" s="9" t="s">
        <v>277</v>
      </c>
      <c r="T82" s="9" t="s">
        <v>363</v>
      </c>
      <c r="U82" s="9" t="s">
        <v>480</v>
      </c>
      <c r="V82" s="9" t="s">
        <v>305</v>
      </c>
      <c r="W82" s="9">
        <v>24.0</v>
      </c>
    </row>
    <row r="83">
      <c r="B83" s="9" t="s">
        <v>500</v>
      </c>
      <c r="C83" s="9" t="s">
        <v>281</v>
      </c>
      <c r="D83" s="9">
        <v>14.0</v>
      </c>
      <c r="E83" s="9">
        <v>1.0</v>
      </c>
      <c r="G83" s="9" t="s">
        <v>269</v>
      </c>
      <c r="H83" s="9" t="s">
        <v>289</v>
      </c>
      <c r="I83" s="9" t="s">
        <v>269</v>
      </c>
      <c r="J83" s="9" t="s">
        <v>501</v>
      </c>
      <c r="K83" s="9" t="s">
        <v>132</v>
      </c>
      <c r="L83" s="9" t="s">
        <v>334</v>
      </c>
      <c r="M83" s="9" t="s">
        <v>502</v>
      </c>
      <c r="N83" s="9" t="s">
        <v>415</v>
      </c>
      <c r="O83" s="9" t="s">
        <v>457</v>
      </c>
      <c r="P83" s="9" t="s">
        <v>276</v>
      </c>
      <c r="Q83" s="9" t="s">
        <v>321</v>
      </c>
      <c r="R83" s="9" t="s">
        <v>276</v>
      </c>
      <c r="T83" s="9" t="s">
        <v>503</v>
      </c>
      <c r="U83" s="9" t="s">
        <v>504</v>
      </c>
      <c r="V83" s="9" t="s">
        <v>457</v>
      </c>
      <c r="W83" s="9">
        <v>3.0</v>
      </c>
    </row>
    <row r="84">
      <c r="A84" s="9">
        <v>72.0</v>
      </c>
      <c r="B84" s="9" t="s">
        <v>505</v>
      </c>
      <c r="C84" s="9" t="s">
        <v>386</v>
      </c>
      <c r="D84" s="9">
        <v>14.0</v>
      </c>
      <c r="E84" s="9">
        <v>1.0</v>
      </c>
      <c r="F84" s="9" t="s">
        <v>269</v>
      </c>
      <c r="G84" s="9" t="s">
        <v>269</v>
      </c>
      <c r="H84" s="9" t="s">
        <v>289</v>
      </c>
      <c r="I84" s="9" t="s">
        <v>269</v>
      </c>
      <c r="J84" s="9" t="s">
        <v>132</v>
      </c>
      <c r="K84" s="9" t="s">
        <v>132</v>
      </c>
      <c r="L84" s="9" t="s">
        <v>443</v>
      </c>
      <c r="M84" s="9" t="s">
        <v>304</v>
      </c>
      <c r="N84" s="9" t="s">
        <v>304</v>
      </c>
      <c r="O84" s="9" t="s">
        <v>338</v>
      </c>
      <c r="P84" s="9" t="s">
        <v>284</v>
      </c>
      <c r="Q84" s="9" t="s">
        <v>321</v>
      </c>
      <c r="R84" s="9" t="s">
        <v>465</v>
      </c>
      <c r="T84" s="9" t="s">
        <v>462</v>
      </c>
      <c r="U84" s="9" t="s">
        <v>295</v>
      </c>
      <c r="V84" s="9" t="s">
        <v>316</v>
      </c>
      <c r="W84" s="9">
        <v>31.0</v>
      </c>
    </row>
    <row r="85">
      <c r="A85" s="9">
        <v>95.0</v>
      </c>
      <c r="B85" s="9" t="s">
        <v>506</v>
      </c>
      <c r="C85" s="9" t="s">
        <v>386</v>
      </c>
      <c r="D85" s="9">
        <v>15.0</v>
      </c>
      <c r="E85" s="9">
        <v>1.0</v>
      </c>
      <c r="F85" s="9" t="s">
        <v>269</v>
      </c>
      <c r="G85" s="9" t="s">
        <v>269</v>
      </c>
      <c r="H85" s="9" t="s">
        <v>289</v>
      </c>
      <c r="I85" s="9" t="s">
        <v>271</v>
      </c>
      <c r="J85" s="9" t="s">
        <v>299</v>
      </c>
      <c r="K85" s="9" t="s">
        <v>132</v>
      </c>
      <c r="L85" s="9" t="s">
        <v>395</v>
      </c>
      <c r="M85" s="9" t="s">
        <v>324</v>
      </c>
      <c r="N85" s="9" t="s">
        <v>324</v>
      </c>
      <c r="O85" s="9" t="s">
        <v>285</v>
      </c>
      <c r="P85" s="9" t="s">
        <v>304</v>
      </c>
      <c r="Q85" s="9" t="s">
        <v>347</v>
      </c>
      <c r="R85" s="9" t="s">
        <v>297</v>
      </c>
      <c r="T85" s="9" t="s">
        <v>507</v>
      </c>
      <c r="U85" s="9" t="s">
        <v>508</v>
      </c>
      <c r="V85" s="9" t="s">
        <v>371</v>
      </c>
      <c r="W85" s="9">
        <v>98.0</v>
      </c>
    </row>
    <row r="86">
      <c r="A86" s="9">
        <v>230.0</v>
      </c>
      <c r="B86" s="9" t="s">
        <v>509</v>
      </c>
      <c r="C86" s="9" t="s">
        <v>288</v>
      </c>
      <c r="D86" s="9">
        <v>15.0</v>
      </c>
      <c r="E86" s="9">
        <v>1.0</v>
      </c>
      <c r="G86" s="9" t="s">
        <v>271</v>
      </c>
      <c r="H86" s="9" t="s">
        <v>282</v>
      </c>
      <c r="I86" s="9" t="s">
        <v>269</v>
      </c>
      <c r="J86" s="9" t="s">
        <v>132</v>
      </c>
      <c r="K86" s="9" t="s">
        <v>510</v>
      </c>
      <c r="L86" s="9" t="s">
        <v>496</v>
      </c>
      <c r="M86" s="9" t="s">
        <v>297</v>
      </c>
      <c r="N86" s="9" t="s">
        <v>502</v>
      </c>
      <c r="O86" s="9" t="s">
        <v>371</v>
      </c>
      <c r="P86" s="9" t="s">
        <v>362</v>
      </c>
      <c r="Q86" s="9" t="s">
        <v>277</v>
      </c>
      <c r="R86" s="9" t="s">
        <v>304</v>
      </c>
      <c r="T86" s="9" t="s">
        <v>301</v>
      </c>
      <c r="U86" s="9" t="s">
        <v>389</v>
      </c>
      <c r="V86" s="9" t="s">
        <v>286</v>
      </c>
      <c r="W86" s="9">
        <v>2.0</v>
      </c>
    </row>
    <row r="87">
      <c r="A87" s="9">
        <v>98.0</v>
      </c>
      <c r="B87" s="9" t="s">
        <v>511</v>
      </c>
      <c r="C87" s="9" t="s">
        <v>281</v>
      </c>
      <c r="D87" s="9">
        <v>15.0</v>
      </c>
      <c r="E87" s="9">
        <v>1.0</v>
      </c>
      <c r="F87" s="9" t="s">
        <v>269</v>
      </c>
      <c r="G87" s="9" t="s">
        <v>269</v>
      </c>
      <c r="H87" s="9" t="s">
        <v>270</v>
      </c>
      <c r="I87" s="9" t="s">
        <v>269</v>
      </c>
      <c r="J87" s="9" t="s">
        <v>132</v>
      </c>
      <c r="K87" s="9" t="s">
        <v>132</v>
      </c>
      <c r="L87" s="9" t="s">
        <v>512</v>
      </c>
      <c r="M87" s="9" t="s">
        <v>359</v>
      </c>
      <c r="N87" s="9" t="s">
        <v>362</v>
      </c>
      <c r="O87" s="9" t="s">
        <v>324</v>
      </c>
      <c r="P87" s="9" t="s">
        <v>276</v>
      </c>
      <c r="Q87" s="9" t="s">
        <v>321</v>
      </c>
      <c r="R87" s="9" t="s">
        <v>513</v>
      </c>
      <c r="T87" s="9" t="s">
        <v>296</v>
      </c>
      <c r="U87" s="9" t="s">
        <v>514</v>
      </c>
      <c r="V87" s="9" t="s">
        <v>359</v>
      </c>
      <c r="W87" s="9">
        <v>62.0</v>
      </c>
    </row>
    <row r="88">
      <c r="A88" s="9">
        <v>124.0</v>
      </c>
      <c r="B88" s="9" t="s">
        <v>515</v>
      </c>
      <c r="C88" s="9" t="s">
        <v>281</v>
      </c>
      <c r="D88" s="9">
        <v>15.0</v>
      </c>
      <c r="E88" s="9">
        <v>1.0</v>
      </c>
      <c r="F88" s="9" t="s">
        <v>269</v>
      </c>
      <c r="G88" s="9" t="s">
        <v>269</v>
      </c>
      <c r="H88" s="9" t="s">
        <v>270</v>
      </c>
      <c r="I88" s="9" t="s">
        <v>269</v>
      </c>
      <c r="J88" s="9" t="s">
        <v>381</v>
      </c>
      <c r="K88" s="9" t="s">
        <v>132</v>
      </c>
      <c r="L88" s="9" t="s">
        <v>460</v>
      </c>
      <c r="M88" s="9" t="s">
        <v>286</v>
      </c>
      <c r="N88" s="9" t="s">
        <v>465</v>
      </c>
      <c r="O88" s="9" t="s">
        <v>324</v>
      </c>
      <c r="P88" s="9" t="s">
        <v>285</v>
      </c>
      <c r="Q88" s="9" t="s">
        <v>321</v>
      </c>
      <c r="R88" s="9" t="s">
        <v>308</v>
      </c>
      <c r="T88" s="9" t="s">
        <v>516</v>
      </c>
      <c r="U88" s="9" t="s">
        <v>372</v>
      </c>
      <c r="V88" s="9" t="s">
        <v>338</v>
      </c>
      <c r="W88" s="9">
        <v>69.0</v>
      </c>
    </row>
    <row r="89">
      <c r="A89" s="9">
        <v>104.0</v>
      </c>
      <c r="B89" s="9" t="s">
        <v>517</v>
      </c>
      <c r="C89" s="9" t="s">
        <v>294</v>
      </c>
      <c r="D89" s="9">
        <v>16.0</v>
      </c>
      <c r="E89" s="9">
        <v>1.0</v>
      </c>
      <c r="F89" s="9" t="s">
        <v>269</v>
      </c>
      <c r="G89" s="9" t="s">
        <v>269</v>
      </c>
      <c r="H89" s="9" t="s">
        <v>289</v>
      </c>
      <c r="I89" s="9" t="s">
        <v>271</v>
      </c>
      <c r="J89" s="9" t="s">
        <v>518</v>
      </c>
      <c r="K89" s="9" t="s">
        <v>132</v>
      </c>
      <c r="L89" s="9" t="s">
        <v>482</v>
      </c>
      <c r="M89" s="9" t="s">
        <v>465</v>
      </c>
      <c r="N89" s="9" t="s">
        <v>338</v>
      </c>
      <c r="O89" s="9" t="s">
        <v>324</v>
      </c>
      <c r="P89" s="9" t="s">
        <v>285</v>
      </c>
      <c r="Q89" s="9" t="s">
        <v>321</v>
      </c>
      <c r="R89" s="9" t="s">
        <v>304</v>
      </c>
      <c r="T89" s="9" t="s">
        <v>519</v>
      </c>
      <c r="U89" s="9" t="s">
        <v>363</v>
      </c>
      <c r="V89" s="9" t="s">
        <v>297</v>
      </c>
      <c r="W89" s="9">
        <v>73.0</v>
      </c>
    </row>
    <row r="90">
      <c r="A90" s="9">
        <v>109.0</v>
      </c>
      <c r="B90" s="9" t="s">
        <v>520</v>
      </c>
      <c r="C90" s="9" t="s">
        <v>333</v>
      </c>
      <c r="D90" s="9">
        <v>16.0</v>
      </c>
      <c r="E90" s="9">
        <v>1.0</v>
      </c>
      <c r="F90" s="9" t="s">
        <v>271</v>
      </c>
      <c r="G90" s="9" t="s">
        <v>269</v>
      </c>
      <c r="H90" s="9" t="s">
        <v>289</v>
      </c>
      <c r="I90" s="9" t="s">
        <v>269</v>
      </c>
      <c r="J90" s="9" t="s">
        <v>521</v>
      </c>
      <c r="K90" s="9" t="s">
        <v>132</v>
      </c>
      <c r="L90" s="9" t="s">
        <v>334</v>
      </c>
      <c r="M90" s="9" t="s">
        <v>371</v>
      </c>
      <c r="N90" s="9" t="s">
        <v>522</v>
      </c>
      <c r="O90" s="9" t="s">
        <v>362</v>
      </c>
      <c r="P90" s="9" t="s">
        <v>304</v>
      </c>
      <c r="Q90" s="9" t="s">
        <v>436</v>
      </c>
      <c r="R90" s="9" t="s">
        <v>276</v>
      </c>
      <c r="T90" s="9" t="s">
        <v>516</v>
      </c>
      <c r="U90" s="9" t="s">
        <v>480</v>
      </c>
      <c r="V90" s="9" t="s">
        <v>316</v>
      </c>
      <c r="W90" s="9">
        <v>66.0</v>
      </c>
    </row>
    <row r="91">
      <c r="A91" s="9">
        <v>190.0</v>
      </c>
      <c r="B91" s="9" t="s">
        <v>523</v>
      </c>
      <c r="C91" s="9" t="s">
        <v>333</v>
      </c>
      <c r="D91" s="9">
        <v>17.0</v>
      </c>
      <c r="E91" s="9">
        <v>1.0</v>
      </c>
      <c r="G91" s="9" t="s">
        <v>269</v>
      </c>
      <c r="H91" s="9" t="s">
        <v>289</v>
      </c>
      <c r="I91" s="9" t="s">
        <v>269</v>
      </c>
      <c r="J91" s="9" t="s">
        <v>456</v>
      </c>
      <c r="K91" s="9" t="s">
        <v>132</v>
      </c>
      <c r="L91" s="9" t="s">
        <v>524</v>
      </c>
      <c r="M91" s="9">
        <v>0.0</v>
      </c>
      <c r="N91" s="9" t="s">
        <v>522</v>
      </c>
      <c r="O91" s="9" t="s">
        <v>277</v>
      </c>
      <c r="P91" s="9" t="s">
        <v>304</v>
      </c>
      <c r="Q91" s="9" t="s">
        <v>279</v>
      </c>
      <c r="R91" s="9" t="s">
        <v>525</v>
      </c>
      <c r="T91" s="9" t="s">
        <v>526</v>
      </c>
      <c r="U91" s="9" t="s">
        <v>389</v>
      </c>
      <c r="V91" s="9" t="s">
        <v>286</v>
      </c>
      <c r="W91" s="9">
        <v>101.0</v>
      </c>
    </row>
    <row r="92">
      <c r="A92" s="9">
        <v>59.0</v>
      </c>
      <c r="B92" s="9" t="s">
        <v>527</v>
      </c>
      <c r="C92" s="9" t="s">
        <v>386</v>
      </c>
      <c r="D92" s="9">
        <v>17.0</v>
      </c>
      <c r="E92" s="9">
        <v>1.0</v>
      </c>
      <c r="F92" s="9" t="s">
        <v>269</v>
      </c>
      <c r="G92" s="9" t="s">
        <v>269</v>
      </c>
      <c r="H92" s="9" t="s">
        <v>289</v>
      </c>
      <c r="I92" s="9" t="s">
        <v>269</v>
      </c>
      <c r="J92" s="9" t="s">
        <v>132</v>
      </c>
      <c r="K92" s="9" t="s">
        <v>132</v>
      </c>
      <c r="L92" s="9" t="s">
        <v>528</v>
      </c>
      <c r="M92" s="9" t="s">
        <v>465</v>
      </c>
      <c r="N92" s="9" t="s">
        <v>316</v>
      </c>
      <c r="O92" s="9" t="s">
        <v>371</v>
      </c>
      <c r="P92" s="9" t="s">
        <v>362</v>
      </c>
      <c r="Q92" s="9" t="s">
        <v>321</v>
      </c>
      <c r="R92" s="9" t="s">
        <v>308</v>
      </c>
      <c r="T92" s="9" t="s">
        <v>529</v>
      </c>
      <c r="U92" s="9" t="s">
        <v>530</v>
      </c>
      <c r="V92" s="9" t="s">
        <v>297</v>
      </c>
      <c r="W92" s="9">
        <v>101.0</v>
      </c>
    </row>
    <row r="93">
      <c r="A93" s="9">
        <v>132.0</v>
      </c>
      <c r="B93" s="9" t="s">
        <v>531</v>
      </c>
      <c r="C93" s="9" t="s">
        <v>281</v>
      </c>
      <c r="D93" s="9">
        <v>17.0</v>
      </c>
      <c r="E93" s="9">
        <v>1.0</v>
      </c>
      <c r="F93" s="9" t="s">
        <v>271</v>
      </c>
      <c r="G93" s="9" t="s">
        <v>269</v>
      </c>
      <c r="H93" s="9" t="s">
        <v>289</v>
      </c>
      <c r="I93" s="9" t="s">
        <v>271</v>
      </c>
      <c r="J93" s="9" t="s">
        <v>518</v>
      </c>
      <c r="K93" s="9" t="s">
        <v>132</v>
      </c>
      <c r="L93" s="9" t="s">
        <v>488</v>
      </c>
      <c r="M93" s="9" t="s">
        <v>286</v>
      </c>
      <c r="N93" s="9" t="s">
        <v>305</v>
      </c>
      <c r="O93" s="9" t="s">
        <v>324</v>
      </c>
      <c r="P93" s="9" t="s">
        <v>362</v>
      </c>
      <c r="Q93" s="9" t="s">
        <v>321</v>
      </c>
      <c r="R93" s="9" t="s">
        <v>465</v>
      </c>
      <c r="T93" s="9" t="s">
        <v>532</v>
      </c>
      <c r="U93" s="9" t="s">
        <v>516</v>
      </c>
      <c r="V93" s="9" t="s">
        <v>297</v>
      </c>
      <c r="W93" s="9">
        <v>98.0</v>
      </c>
    </row>
    <row r="94">
      <c r="A94" s="9">
        <v>167.0</v>
      </c>
      <c r="B94" s="9" t="s">
        <v>533</v>
      </c>
      <c r="C94" s="9" t="s">
        <v>294</v>
      </c>
      <c r="D94" s="9">
        <v>18.0</v>
      </c>
      <c r="E94" s="9">
        <v>1.0</v>
      </c>
      <c r="F94" s="9" t="s">
        <v>271</v>
      </c>
      <c r="G94" s="9" t="s">
        <v>269</v>
      </c>
      <c r="H94" s="9" t="s">
        <v>270</v>
      </c>
      <c r="I94" s="9" t="s">
        <v>271</v>
      </c>
      <c r="J94" s="9" t="s">
        <v>534</v>
      </c>
      <c r="K94" s="9" t="s">
        <v>132</v>
      </c>
      <c r="L94" s="9" t="s">
        <v>408</v>
      </c>
      <c r="M94" s="9" t="s">
        <v>286</v>
      </c>
      <c r="N94" s="9" t="s">
        <v>304</v>
      </c>
      <c r="O94" s="9" t="s">
        <v>371</v>
      </c>
      <c r="P94" s="9" t="s">
        <v>285</v>
      </c>
      <c r="Q94" s="9" t="s">
        <v>388</v>
      </c>
      <c r="R94" s="9" t="s">
        <v>513</v>
      </c>
      <c r="T94" s="9" t="s">
        <v>535</v>
      </c>
      <c r="U94" s="9" t="s">
        <v>452</v>
      </c>
      <c r="V94" s="9" t="s">
        <v>279</v>
      </c>
      <c r="W94" s="9">
        <v>78.0</v>
      </c>
    </row>
    <row r="95">
      <c r="A95" s="9">
        <v>165.0</v>
      </c>
      <c r="B95" s="9" t="s">
        <v>536</v>
      </c>
      <c r="C95" s="9" t="s">
        <v>386</v>
      </c>
      <c r="D95" s="9">
        <v>18.0</v>
      </c>
      <c r="E95" s="9">
        <v>2.0</v>
      </c>
      <c r="F95" s="9" t="s">
        <v>269</v>
      </c>
      <c r="G95" s="9" t="s">
        <v>269</v>
      </c>
      <c r="H95" s="9" t="s">
        <v>270</v>
      </c>
      <c r="I95" s="9" t="s">
        <v>271</v>
      </c>
      <c r="J95" s="9" t="s">
        <v>299</v>
      </c>
      <c r="K95" s="9" t="s">
        <v>537</v>
      </c>
      <c r="L95" s="9" t="s">
        <v>443</v>
      </c>
      <c r="M95" s="9" t="s">
        <v>286</v>
      </c>
      <c r="N95" s="9" t="s">
        <v>371</v>
      </c>
      <c r="O95" s="9" t="s">
        <v>371</v>
      </c>
      <c r="P95" s="9" t="s">
        <v>276</v>
      </c>
      <c r="Q95" s="9" t="s">
        <v>436</v>
      </c>
      <c r="R95" s="9" t="s">
        <v>304</v>
      </c>
      <c r="T95" s="9" t="s">
        <v>530</v>
      </c>
      <c r="U95" s="9" t="s">
        <v>355</v>
      </c>
      <c r="V95" s="9" t="s">
        <v>356</v>
      </c>
      <c r="W95" s="9">
        <v>88.0</v>
      </c>
    </row>
    <row r="96">
      <c r="A96" s="9">
        <v>67.0</v>
      </c>
      <c r="B96" s="9" t="s">
        <v>538</v>
      </c>
      <c r="C96" s="9" t="s">
        <v>281</v>
      </c>
      <c r="D96" s="9">
        <v>18.0</v>
      </c>
      <c r="E96" s="9">
        <v>1.0</v>
      </c>
      <c r="G96" s="9" t="s">
        <v>269</v>
      </c>
      <c r="H96" s="9" t="s">
        <v>270</v>
      </c>
      <c r="I96" s="9" t="s">
        <v>269</v>
      </c>
      <c r="J96" s="9" t="s">
        <v>132</v>
      </c>
      <c r="K96" s="9" t="s">
        <v>132</v>
      </c>
      <c r="L96" s="9" t="s">
        <v>431</v>
      </c>
      <c r="M96" s="9" t="s">
        <v>308</v>
      </c>
      <c r="N96" s="9" t="s">
        <v>304</v>
      </c>
      <c r="O96" s="9" t="s">
        <v>522</v>
      </c>
      <c r="P96" s="9" t="s">
        <v>276</v>
      </c>
      <c r="Q96" s="9" t="s">
        <v>436</v>
      </c>
      <c r="R96" s="9" t="s">
        <v>304</v>
      </c>
      <c r="T96" s="9" t="s">
        <v>474</v>
      </c>
      <c r="U96" s="9" t="s">
        <v>372</v>
      </c>
      <c r="V96" s="9" t="s">
        <v>316</v>
      </c>
      <c r="W96" s="9">
        <v>61.0</v>
      </c>
    </row>
    <row r="97">
      <c r="A97" s="9">
        <v>161.0</v>
      </c>
      <c r="B97" s="9" t="s">
        <v>539</v>
      </c>
      <c r="C97" s="9" t="s">
        <v>386</v>
      </c>
      <c r="D97" s="9">
        <v>19.0</v>
      </c>
      <c r="E97" s="9">
        <v>1.0</v>
      </c>
      <c r="F97" s="9" t="s">
        <v>269</v>
      </c>
      <c r="G97" s="9" t="s">
        <v>269</v>
      </c>
      <c r="H97" s="9" t="s">
        <v>289</v>
      </c>
      <c r="I97" s="9" t="s">
        <v>271</v>
      </c>
      <c r="J97" s="9" t="s">
        <v>299</v>
      </c>
      <c r="K97" s="9" t="s">
        <v>336</v>
      </c>
      <c r="L97" s="9" t="s">
        <v>488</v>
      </c>
      <c r="M97" s="9" t="s">
        <v>371</v>
      </c>
      <c r="N97" s="9" t="s">
        <v>371</v>
      </c>
      <c r="O97" s="9" t="s">
        <v>308</v>
      </c>
      <c r="P97" s="9" t="s">
        <v>304</v>
      </c>
      <c r="Q97" s="9" t="s">
        <v>347</v>
      </c>
      <c r="R97" s="9" t="s">
        <v>286</v>
      </c>
      <c r="T97" s="9" t="s">
        <v>540</v>
      </c>
      <c r="U97" s="9" t="s">
        <v>530</v>
      </c>
      <c r="V97" s="9" t="s">
        <v>308</v>
      </c>
      <c r="W97" s="9">
        <v>279.0</v>
      </c>
    </row>
    <row r="98">
      <c r="A98" s="9">
        <v>214.0</v>
      </c>
      <c r="B98" s="9" t="s">
        <v>541</v>
      </c>
      <c r="C98" s="9" t="s">
        <v>333</v>
      </c>
      <c r="D98" s="9">
        <v>19.0</v>
      </c>
      <c r="E98" s="9">
        <v>1.0</v>
      </c>
      <c r="F98" s="9" t="s">
        <v>269</v>
      </c>
      <c r="G98" s="9" t="s">
        <v>271</v>
      </c>
      <c r="H98" s="9" t="s">
        <v>282</v>
      </c>
      <c r="I98" s="9" t="s">
        <v>269</v>
      </c>
      <c r="J98" s="9" t="s">
        <v>352</v>
      </c>
      <c r="K98" s="9" t="s">
        <v>542</v>
      </c>
      <c r="L98" s="9" t="s">
        <v>543</v>
      </c>
      <c r="M98" s="9" t="s">
        <v>324</v>
      </c>
      <c r="N98" s="9" t="s">
        <v>277</v>
      </c>
      <c r="O98" s="9" t="s">
        <v>286</v>
      </c>
      <c r="P98" s="9" t="s">
        <v>308</v>
      </c>
      <c r="Q98" s="9" t="s">
        <v>279</v>
      </c>
      <c r="R98" s="9" t="s">
        <v>286</v>
      </c>
      <c r="T98" s="9" t="s">
        <v>325</v>
      </c>
      <c r="U98" s="9" t="s">
        <v>544</v>
      </c>
      <c r="V98" s="9" t="s">
        <v>356</v>
      </c>
      <c r="W98" s="9">
        <v>75.0</v>
      </c>
    </row>
    <row r="99">
      <c r="A99" s="9">
        <v>112.0</v>
      </c>
      <c r="B99" s="9" t="s">
        <v>545</v>
      </c>
      <c r="C99" s="9" t="s">
        <v>333</v>
      </c>
      <c r="D99" s="9">
        <v>19.0</v>
      </c>
      <c r="E99" s="9">
        <v>1.0</v>
      </c>
      <c r="F99" s="9" t="s">
        <v>269</v>
      </c>
      <c r="G99" s="9" t="s">
        <v>269</v>
      </c>
      <c r="H99" s="9" t="s">
        <v>270</v>
      </c>
      <c r="I99" s="9" t="s">
        <v>269</v>
      </c>
      <c r="J99" s="9" t="s">
        <v>132</v>
      </c>
      <c r="K99" s="9" t="s">
        <v>132</v>
      </c>
      <c r="L99" s="9" t="s">
        <v>443</v>
      </c>
      <c r="M99" s="9" t="s">
        <v>305</v>
      </c>
      <c r="N99" s="9" t="s">
        <v>285</v>
      </c>
      <c r="O99" s="9" t="s">
        <v>522</v>
      </c>
      <c r="P99" s="9" t="s">
        <v>284</v>
      </c>
      <c r="Q99" s="9" t="s">
        <v>277</v>
      </c>
      <c r="R99" s="9" t="s">
        <v>522</v>
      </c>
      <c r="T99" s="9" t="s">
        <v>546</v>
      </c>
      <c r="U99" s="9" t="s">
        <v>547</v>
      </c>
      <c r="V99" s="9" t="s">
        <v>316</v>
      </c>
      <c r="W99" s="9">
        <v>55.0</v>
      </c>
    </row>
    <row r="100">
      <c r="B100" s="9" t="s">
        <v>548</v>
      </c>
      <c r="C100" s="9" t="s">
        <v>386</v>
      </c>
      <c r="D100" s="9">
        <v>20.0</v>
      </c>
      <c r="E100" s="9">
        <v>2.0</v>
      </c>
      <c r="F100" s="9" t="s">
        <v>269</v>
      </c>
      <c r="G100" s="9" t="s">
        <v>269</v>
      </c>
      <c r="H100" s="9" t="s">
        <v>282</v>
      </c>
      <c r="I100" s="9" t="s">
        <v>271</v>
      </c>
      <c r="J100" s="9" t="s">
        <v>549</v>
      </c>
      <c r="K100" s="9" t="s">
        <v>132</v>
      </c>
      <c r="L100" s="9" t="s">
        <v>550</v>
      </c>
      <c r="M100" s="9" t="s">
        <v>305</v>
      </c>
      <c r="N100" s="9" t="s">
        <v>522</v>
      </c>
      <c r="O100" s="9" t="s">
        <v>551</v>
      </c>
      <c r="P100" s="9" t="s">
        <v>552</v>
      </c>
      <c r="Q100" s="9" t="s">
        <v>324</v>
      </c>
      <c r="R100" s="9" t="s">
        <v>553</v>
      </c>
      <c r="W100" s="9">
        <v>2.0</v>
      </c>
    </row>
    <row r="101">
      <c r="A101" s="9">
        <v>70.0</v>
      </c>
      <c r="B101" s="9" t="s">
        <v>554</v>
      </c>
      <c r="C101" s="9" t="s">
        <v>333</v>
      </c>
      <c r="D101" s="9">
        <v>20.0</v>
      </c>
      <c r="E101" s="9">
        <v>1.0</v>
      </c>
      <c r="F101" s="9" t="s">
        <v>269</v>
      </c>
      <c r="G101" s="9" t="s">
        <v>269</v>
      </c>
      <c r="H101" s="9" t="s">
        <v>289</v>
      </c>
      <c r="I101" s="9" t="s">
        <v>269</v>
      </c>
      <c r="J101" s="9" t="s">
        <v>555</v>
      </c>
      <c r="K101" s="9" t="s">
        <v>132</v>
      </c>
      <c r="L101" s="9" t="s">
        <v>370</v>
      </c>
      <c r="M101" s="9" t="s">
        <v>324</v>
      </c>
      <c r="N101" s="9" t="s">
        <v>433</v>
      </c>
      <c r="O101" s="9" t="s">
        <v>285</v>
      </c>
      <c r="P101" s="9" t="s">
        <v>304</v>
      </c>
      <c r="Q101" s="9" t="s">
        <v>321</v>
      </c>
      <c r="R101" s="9" t="s">
        <v>277</v>
      </c>
      <c r="T101" s="9" t="s">
        <v>389</v>
      </c>
      <c r="U101" s="9" t="s">
        <v>530</v>
      </c>
      <c r="V101" s="9" t="s">
        <v>338</v>
      </c>
      <c r="W101" s="9">
        <v>145.0</v>
      </c>
    </row>
    <row r="102">
      <c r="A102" s="9">
        <v>191.0</v>
      </c>
      <c r="B102" s="9" t="s">
        <v>556</v>
      </c>
      <c r="C102" s="9" t="s">
        <v>288</v>
      </c>
      <c r="D102" s="9">
        <v>20.0</v>
      </c>
      <c r="E102" s="9">
        <v>1.0</v>
      </c>
      <c r="F102" s="9" t="s">
        <v>269</v>
      </c>
      <c r="G102" s="9" t="s">
        <v>269</v>
      </c>
      <c r="H102" s="9" t="s">
        <v>289</v>
      </c>
      <c r="I102" s="9" t="s">
        <v>269</v>
      </c>
      <c r="J102" s="9" t="s">
        <v>132</v>
      </c>
      <c r="K102" s="9" t="s">
        <v>341</v>
      </c>
      <c r="L102" s="9" t="s">
        <v>419</v>
      </c>
      <c r="M102" s="9" t="s">
        <v>359</v>
      </c>
      <c r="N102" s="9" t="s">
        <v>286</v>
      </c>
      <c r="O102" s="9" t="s">
        <v>286</v>
      </c>
      <c r="P102" s="9" t="s">
        <v>362</v>
      </c>
      <c r="Q102" s="9" t="s">
        <v>347</v>
      </c>
      <c r="R102" s="9" t="s">
        <v>286</v>
      </c>
      <c r="T102" s="9" t="s">
        <v>278</v>
      </c>
      <c r="U102" s="9" t="s">
        <v>355</v>
      </c>
      <c r="V102" s="9" t="s">
        <v>338</v>
      </c>
      <c r="W102" s="9">
        <v>48.0</v>
      </c>
    </row>
    <row r="103">
      <c r="A103" s="9">
        <v>129.0</v>
      </c>
      <c r="B103" s="9" t="s">
        <v>557</v>
      </c>
      <c r="C103" s="9" t="s">
        <v>333</v>
      </c>
      <c r="D103" s="9">
        <v>20.0</v>
      </c>
      <c r="E103" s="9">
        <v>1.0</v>
      </c>
      <c r="F103" s="9" t="s">
        <v>269</v>
      </c>
      <c r="G103" s="9" t="s">
        <v>271</v>
      </c>
      <c r="H103" s="9" t="s">
        <v>270</v>
      </c>
      <c r="I103" s="9" t="s">
        <v>271</v>
      </c>
      <c r="J103" s="9" t="s">
        <v>352</v>
      </c>
      <c r="K103" s="9" t="s">
        <v>132</v>
      </c>
      <c r="L103" s="9" t="s">
        <v>558</v>
      </c>
      <c r="M103" s="9" t="s">
        <v>359</v>
      </c>
      <c r="N103" s="9" t="s">
        <v>465</v>
      </c>
      <c r="O103" s="9" t="s">
        <v>465</v>
      </c>
      <c r="P103" s="9" t="s">
        <v>276</v>
      </c>
      <c r="Q103" s="9" t="s">
        <v>347</v>
      </c>
      <c r="R103" s="9" t="s">
        <v>387</v>
      </c>
      <c r="T103" s="9" t="s">
        <v>514</v>
      </c>
      <c r="U103" s="9" t="s">
        <v>329</v>
      </c>
      <c r="V103" s="9" t="s">
        <v>359</v>
      </c>
      <c r="W103" s="9">
        <v>59.0</v>
      </c>
    </row>
    <row r="104">
      <c r="A104" s="9">
        <v>57.0</v>
      </c>
      <c r="B104" s="9" t="s">
        <v>559</v>
      </c>
      <c r="C104" s="9" t="s">
        <v>386</v>
      </c>
      <c r="D104" s="9">
        <v>21.0</v>
      </c>
      <c r="E104" s="9">
        <v>1.0</v>
      </c>
      <c r="F104" s="9" t="s">
        <v>271</v>
      </c>
      <c r="G104" s="9" t="s">
        <v>269</v>
      </c>
      <c r="H104" s="9" t="s">
        <v>270</v>
      </c>
      <c r="I104" s="9" t="s">
        <v>269</v>
      </c>
      <c r="J104" s="9" t="s">
        <v>555</v>
      </c>
      <c r="K104" s="9" t="s">
        <v>132</v>
      </c>
      <c r="L104" s="9" t="s">
        <v>560</v>
      </c>
      <c r="M104" s="9" t="s">
        <v>359</v>
      </c>
      <c r="N104" s="9" t="s">
        <v>308</v>
      </c>
      <c r="O104" s="9" t="s">
        <v>286</v>
      </c>
      <c r="P104" s="9" t="s">
        <v>304</v>
      </c>
      <c r="Q104" s="9" t="s">
        <v>347</v>
      </c>
      <c r="R104" s="9" t="s">
        <v>304</v>
      </c>
      <c r="T104" s="9" t="s">
        <v>532</v>
      </c>
      <c r="U104" s="9" t="s">
        <v>530</v>
      </c>
      <c r="V104" s="9" t="s">
        <v>297</v>
      </c>
      <c r="W104" s="9">
        <v>124.0</v>
      </c>
    </row>
    <row r="105">
      <c r="A105" s="9">
        <v>58.0</v>
      </c>
      <c r="B105" s="9" t="s">
        <v>561</v>
      </c>
      <c r="C105" s="9" t="s">
        <v>386</v>
      </c>
      <c r="D105" s="9">
        <v>21.0</v>
      </c>
      <c r="E105" s="9">
        <v>1.0</v>
      </c>
      <c r="F105" s="9" t="s">
        <v>269</v>
      </c>
      <c r="G105" s="9" t="s">
        <v>269</v>
      </c>
      <c r="H105" s="9" t="s">
        <v>289</v>
      </c>
      <c r="I105" s="9" t="s">
        <v>269</v>
      </c>
      <c r="J105" s="9" t="s">
        <v>562</v>
      </c>
      <c r="K105" s="9" t="s">
        <v>132</v>
      </c>
      <c r="L105" s="9" t="s">
        <v>563</v>
      </c>
      <c r="M105" s="9" t="s">
        <v>465</v>
      </c>
      <c r="N105" s="9" t="s">
        <v>308</v>
      </c>
      <c r="O105" s="9" t="s">
        <v>338</v>
      </c>
      <c r="P105" s="9" t="s">
        <v>276</v>
      </c>
      <c r="Q105" s="9" t="s">
        <v>448</v>
      </c>
      <c r="R105" s="9" t="s">
        <v>564</v>
      </c>
      <c r="T105" s="9" t="s">
        <v>565</v>
      </c>
      <c r="U105" s="9" t="s">
        <v>516</v>
      </c>
      <c r="V105" s="9" t="s">
        <v>316</v>
      </c>
      <c r="W105" s="9">
        <v>124.0</v>
      </c>
    </row>
    <row r="106">
      <c r="A106" s="9">
        <v>206.0</v>
      </c>
      <c r="B106" s="9" t="s">
        <v>566</v>
      </c>
      <c r="C106" s="9" t="s">
        <v>268</v>
      </c>
      <c r="D106" s="9">
        <v>22.0</v>
      </c>
      <c r="E106" s="9">
        <v>1.0</v>
      </c>
      <c r="F106" s="9" t="s">
        <v>269</v>
      </c>
      <c r="G106" s="9" t="s">
        <v>269</v>
      </c>
      <c r="H106" s="9" t="s">
        <v>270</v>
      </c>
      <c r="I106" s="9" t="s">
        <v>269</v>
      </c>
      <c r="J106" s="9" t="s">
        <v>132</v>
      </c>
      <c r="K106" s="9" t="s">
        <v>567</v>
      </c>
      <c r="L106" s="9" t="s">
        <v>460</v>
      </c>
      <c r="M106" s="9" t="s">
        <v>359</v>
      </c>
      <c r="N106" s="9" t="s">
        <v>305</v>
      </c>
      <c r="O106" s="9" t="s">
        <v>465</v>
      </c>
      <c r="P106" s="9" t="s">
        <v>304</v>
      </c>
      <c r="Q106" s="9" t="s">
        <v>347</v>
      </c>
      <c r="R106" s="9" t="s">
        <v>304</v>
      </c>
      <c r="T106" s="9" t="s">
        <v>389</v>
      </c>
      <c r="U106" s="9" t="s">
        <v>372</v>
      </c>
      <c r="V106" s="9" t="s">
        <v>286</v>
      </c>
      <c r="W106" s="9">
        <v>91.0</v>
      </c>
    </row>
    <row r="107">
      <c r="A107" s="9">
        <v>219.0</v>
      </c>
      <c r="B107" s="9" t="s">
        <v>568</v>
      </c>
      <c r="C107" s="9" t="s">
        <v>386</v>
      </c>
      <c r="D107" s="9">
        <v>22.0</v>
      </c>
      <c r="E107" s="9">
        <v>1.0</v>
      </c>
      <c r="G107" s="9" t="s">
        <v>269</v>
      </c>
      <c r="H107" s="9" t="s">
        <v>270</v>
      </c>
      <c r="I107" s="9" t="s">
        <v>271</v>
      </c>
      <c r="J107" s="9" t="s">
        <v>422</v>
      </c>
      <c r="K107" s="9" t="s">
        <v>569</v>
      </c>
      <c r="L107" s="9" t="s">
        <v>570</v>
      </c>
      <c r="M107" s="9" t="s">
        <v>324</v>
      </c>
      <c r="N107" s="9" t="s">
        <v>571</v>
      </c>
      <c r="O107" s="9" t="s">
        <v>324</v>
      </c>
      <c r="P107" s="9" t="s">
        <v>356</v>
      </c>
      <c r="Q107" s="9" t="s">
        <v>388</v>
      </c>
      <c r="R107" s="9" t="s">
        <v>525</v>
      </c>
      <c r="T107" s="9" t="s">
        <v>572</v>
      </c>
      <c r="U107" s="9" t="s">
        <v>573</v>
      </c>
      <c r="V107" s="9" t="s">
        <v>286</v>
      </c>
      <c r="W107" s="9">
        <v>13.0</v>
      </c>
    </row>
    <row r="108">
      <c r="A108" s="9">
        <v>114.0</v>
      </c>
      <c r="B108" s="9" t="s">
        <v>574</v>
      </c>
      <c r="C108" s="9" t="s">
        <v>281</v>
      </c>
      <c r="D108" s="9">
        <v>22.0</v>
      </c>
      <c r="E108" s="9">
        <v>1.0</v>
      </c>
      <c r="G108" s="9" t="s">
        <v>269</v>
      </c>
      <c r="H108" s="9" t="s">
        <v>289</v>
      </c>
      <c r="I108" s="9" t="s">
        <v>269</v>
      </c>
      <c r="J108" s="9" t="s">
        <v>575</v>
      </c>
      <c r="K108" s="9" t="s">
        <v>132</v>
      </c>
      <c r="L108" s="9" t="s">
        <v>429</v>
      </c>
      <c r="M108" s="9" t="s">
        <v>286</v>
      </c>
      <c r="N108" s="9" t="s">
        <v>305</v>
      </c>
      <c r="O108" s="9" t="s">
        <v>522</v>
      </c>
      <c r="P108" s="9" t="s">
        <v>276</v>
      </c>
      <c r="Q108" s="9" t="s">
        <v>277</v>
      </c>
      <c r="R108" s="9" t="s">
        <v>359</v>
      </c>
      <c r="T108" s="9" t="s">
        <v>576</v>
      </c>
      <c r="U108" s="9" t="s">
        <v>329</v>
      </c>
      <c r="V108" s="9" t="s">
        <v>316</v>
      </c>
      <c r="W108" s="9">
        <v>183.0</v>
      </c>
    </row>
    <row r="109">
      <c r="A109" s="9">
        <v>96.0</v>
      </c>
      <c r="B109" s="9" t="s">
        <v>577</v>
      </c>
      <c r="C109" s="9" t="s">
        <v>386</v>
      </c>
      <c r="D109" s="9">
        <v>23.0</v>
      </c>
      <c r="E109" s="9">
        <v>1.0</v>
      </c>
      <c r="F109" s="9" t="s">
        <v>269</v>
      </c>
      <c r="G109" s="9" t="s">
        <v>269</v>
      </c>
      <c r="H109" s="9" t="s">
        <v>289</v>
      </c>
      <c r="I109" s="9" t="s">
        <v>271</v>
      </c>
      <c r="J109" s="9" t="s">
        <v>299</v>
      </c>
      <c r="K109" s="9" t="s">
        <v>319</v>
      </c>
      <c r="L109" s="9" t="s">
        <v>560</v>
      </c>
      <c r="M109" s="9" t="s">
        <v>286</v>
      </c>
      <c r="N109" s="9" t="s">
        <v>465</v>
      </c>
      <c r="O109" s="9" t="s">
        <v>324</v>
      </c>
      <c r="P109" s="9" t="s">
        <v>304</v>
      </c>
      <c r="Q109" s="9" t="s">
        <v>436</v>
      </c>
      <c r="R109" s="9" t="s">
        <v>297</v>
      </c>
      <c r="T109" s="9" t="s">
        <v>532</v>
      </c>
      <c r="U109" s="9" t="s">
        <v>578</v>
      </c>
      <c r="V109" s="9" t="s">
        <v>308</v>
      </c>
      <c r="W109" s="9">
        <v>193.0</v>
      </c>
    </row>
    <row r="110">
      <c r="A110" s="9">
        <v>207.0</v>
      </c>
      <c r="B110" s="9" t="s">
        <v>579</v>
      </c>
      <c r="C110" s="9" t="s">
        <v>288</v>
      </c>
      <c r="D110" s="9">
        <v>23.0</v>
      </c>
      <c r="E110" s="9">
        <v>1.0</v>
      </c>
      <c r="F110" s="9" t="s">
        <v>269</v>
      </c>
      <c r="G110" s="9" t="s">
        <v>269</v>
      </c>
      <c r="H110" s="9" t="s">
        <v>289</v>
      </c>
      <c r="I110" s="9" t="s">
        <v>269</v>
      </c>
      <c r="J110" s="9" t="s">
        <v>501</v>
      </c>
      <c r="K110" s="9" t="s">
        <v>132</v>
      </c>
      <c r="L110" s="9" t="s">
        <v>580</v>
      </c>
      <c r="M110" s="9" t="s">
        <v>338</v>
      </c>
      <c r="N110" s="9" t="s">
        <v>286</v>
      </c>
      <c r="O110" s="9" t="s">
        <v>465</v>
      </c>
      <c r="P110" s="9" t="s">
        <v>362</v>
      </c>
      <c r="Q110" s="9" t="s">
        <v>436</v>
      </c>
      <c r="R110" s="9" t="s">
        <v>465</v>
      </c>
      <c r="T110" s="9" t="s">
        <v>529</v>
      </c>
      <c r="U110" s="9" t="s">
        <v>581</v>
      </c>
      <c r="V110" s="9" t="s">
        <v>465</v>
      </c>
      <c r="W110" s="9">
        <v>149.0</v>
      </c>
    </row>
    <row r="111">
      <c r="A111" s="9">
        <v>60.0</v>
      </c>
      <c r="B111" s="9" t="s">
        <v>582</v>
      </c>
      <c r="C111" s="9" t="s">
        <v>386</v>
      </c>
      <c r="D111" s="9">
        <v>23.0</v>
      </c>
      <c r="E111" s="9">
        <v>1.0</v>
      </c>
      <c r="F111" s="9" t="s">
        <v>269</v>
      </c>
      <c r="G111" s="9" t="s">
        <v>269</v>
      </c>
      <c r="H111" s="9" t="s">
        <v>289</v>
      </c>
      <c r="I111" s="9" t="s">
        <v>271</v>
      </c>
      <c r="J111" s="9" t="s">
        <v>583</v>
      </c>
      <c r="K111" s="9" t="s">
        <v>132</v>
      </c>
      <c r="L111" s="9" t="s">
        <v>443</v>
      </c>
      <c r="M111" s="9" t="s">
        <v>286</v>
      </c>
      <c r="N111" s="9" t="s">
        <v>433</v>
      </c>
      <c r="O111" s="9" t="s">
        <v>324</v>
      </c>
      <c r="P111" s="9" t="s">
        <v>304</v>
      </c>
      <c r="Q111" s="9" t="s">
        <v>347</v>
      </c>
      <c r="R111" s="9" t="s">
        <v>286</v>
      </c>
      <c r="T111" s="9" t="s">
        <v>565</v>
      </c>
      <c r="U111" s="9" t="s">
        <v>516</v>
      </c>
      <c r="V111" s="9" t="s">
        <v>286</v>
      </c>
      <c r="W111" s="9">
        <v>164.0</v>
      </c>
    </row>
    <row r="112">
      <c r="A112" s="9">
        <v>99.0</v>
      </c>
      <c r="B112" s="9" t="s">
        <v>584</v>
      </c>
      <c r="C112" s="9" t="s">
        <v>281</v>
      </c>
      <c r="D112" s="9">
        <v>23.0</v>
      </c>
      <c r="E112" s="9">
        <v>1.0</v>
      </c>
      <c r="G112" s="9" t="s">
        <v>269</v>
      </c>
      <c r="H112" s="9" t="s">
        <v>270</v>
      </c>
      <c r="I112" s="9" t="s">
        <v>269</v>
      </c>
      <c r="J112" s="9" t="s">
        <v>132</v>
      </c>
      <c r="K112" s="9" t="s">
        <v>132</v>
      </c>
      <c r="L112" s="9" t="s">
        <v>585</v>
      </c>
      <c r="M112" s="9" t="s">
        <v>586</v>
      </c>
      <c r="N112" s="9" t="s">
        <v>304</v>
      </c>
      <c r="O112" s="9" t="s">
        <v>371</v>
      </c>
      <c r="P112" s="9" t="s">
        <v>362</v>
      </c>
      <c r="Q112" s="9" t="s">
        <v>321</v>
      </c>
      <c r="R112" s="9" t="s">
        <v>587</v>
      </c>
      <c r="T112" s="9" t="s">
        <v>278</v>
      </c>
      <c r="U112" s="9" t="s">
        <v>588</v>
      </c>
      <c r="V112" s="9" t="s">
        <v>359</v>
      </c>
      <c r="W112" s="9">
        <v>108.0</v>
      </c>
    </row>
    <row r="113">
      <c r="A113" s="9">
        <v>192.0</v>
      </c>
      <c r="B113" s="9" t="s">
        <v>589</v>
      </c>
      <c r="C113" s="9" t="s">
        <v>333</v>
      </c>
      <c r="D113" s="9">
        <v>24.0</v>
      </c>
      <c r="E113" s="9">
        <v>1.0</v>
      </c>
      <c r="G113" s="9" t="s">
        <v>269</v>
      </c>
      <c r="H113" s="9" t="s">
        <v>282</v>
      </c>
      <c r="I113" s="9" t="s">
        <v>269</v>
      </c>
      <c r="J113" s="9" t="s">
        <v>132</v>
      </c>
      <c r="K113" s="9" t="s">
        <v>341</v>
      </c>
      <c r="L113" s="9" t="s">
        <v>590</v>
      </c>
      <c r="M113" s="9" t="s">
        <v>304</v>
      </c>
      <c r="N113" s="9" t="s">
        <v>414</v>
      </c>
      <c r="O113" s="9" t="s">
        <v>304</v>
      </c>
      <c r="P113" s="9" t="s">
        <v>304</v>
      </c>
      <c r="Q113" s="9" t="s">
        <v>485</v>
      </c>
      <c r="R113" s="9" t="s">
        <v>414</v>
      </c>
      <c r="T113" s="9" t="s">
        <v>591</v>
      </c>
      <c r="U113" s="9" t="s">
        <v>514</v>
      </c>
      <c r="V113" s="9" t="s">
        <v>371</v>
      </c>
      <c r="W113" s="9">
        <v>72.0</v>
      </c>
    </row>
    <row r="114">
      <c r="A114" s="9">
        <v>68.0</v>
      </c>
      <c r="B114" s="9" t="s">
        <v>592</v>
      </c>
      <c r="C114" s="9" t="s">
        <v>294</v>
      </c>
      <c r="D114" s="9">
        <v>24.0</v>
      </c>
      <c r="E114" s="9">
        <v>1.0</v>
      </c>
      <c r="F114" s="9" t="s">
        <v>271</v>
      </c>
      <c r="G114" s="9" t="s">
        <v>269</v>
      </c>
      <c r="H114" s="9" t="s">
        <v>270</v>
      </c>
      <c r="I114" s="9" t="s">
        <v>271</v>
      </c>
      <c r="J114" s="9" t="s">
        <v>593</v>
      </c>
      <c r="K114" s="9" t="s">
        <v>319</v>
      </c>
      <c r="L114" s="9" t="s">
        <v>370</v>
      </c>
      <c r="M114" s="9" t="s">
        <v>387</v>
      </c>
      <c r="N114" s="9" t="s">
        <v>359</v>
      </c>
      <c r="O114" s="9" t="s">
        <v>371</v>
      </c>
      <c r="P114" s="9" t="s">
        <v>362</v>
      </c>
      <c r="Q114" s="9" t="s">
        <v>321</v>
      </c>
      <c r="R114" s="9" t="s">
        <v>396</v>
      </c>
      <c r="T114" s="9" t="s">
        <v>594</v>
      </c>
      <c r="U114" s="9" t="s">
        <v>389</v>
      </c>
      <c r="V114" s="9" t="s">
        <v>286</v>
      </c>
      <c r="W114" s="9">
        <v>95.0</v>
      </c>
    </row>
    <row r="115">
      <c r="A115" s="9">
        <v>135.0</v>
      </c>
      <c r="B115" s="9" t="s">
        <v>595</v>
      </c>
      <c r="C115" s="9" t="s">
        <v>333</v>
      </c>
      <c r="D115" s="9">
        <v>25.0</v>
      </c>
      <c r="E115" s="9">
        <v>1.0</v>
      </c>
      <c r="F115" s="9" t="s">
        <v>269</v>
      </c>
      <c r="G115" s="9" t="s">
        <v>269</v>
      </c>
      <c r="H115" s="9" t="s">
        <v>270</v>
      </c>
      <c r="I115" s="9" t="s">
        <v>269</v>
      </c>
      <c r="J115" s="9" t="s">
        <v>132</v>
      </c>
      <c r="K115" s="9" t="s">
        <v>132</v>
      </c>
      <c r="L115" s="9" t="s">
        <v>482</v>
      </c>
      <c r="M115" s="9" t="s">
        <v>286</v>
      </c>
      <c r="N115" s="9" t="s">
        <v>308</v>
      </c>
      <c r="O115" s="9" t="s">
        <v>586</v>
      </c>
      <c r="P115" s="9" t="s">
        <v>276</v>
      </c>
      <c r="Q115" s="9" t="s">
        <v>321</v>
      </c>
      <c r="R115" s="9" t="s">
        <v>308</v>
      </c>
      <c r="T115" s="9" t="s">
        <v>278</v>
      </c>
      <c r="U115" s="9" t="s">
        <v>355</v>
      </c>
      <c r="V115" s="9" t="s">
        <v>338</v>
      </c>
      <c r="W115" s="9">
        <v>118.0</v>
      </c>
    </row>
    <row r="116">
      <c r="A116" s="9">
        <v>209.0</v>
      </c>
      <c r="B116" s="9" t="s">
        <v>596</v>
      </c>
      <c r="C116" s="9" t="s">
        <v>333</v>
      </c>
      <c r="D116" s="9">
        <v>25.0</v>
      </c>
      <c r="E116" s="9">
        <v>1.0</v>
      </c>
      <c r="F116" s="9" t="s">
        <v>269</v>
      </c>
      <c r="G116" s="9" t="s">
        <v>269</v>
      </c>
      <c r="H116" s="9" t="s">
        <v>289</v>
      </c>
      <c r="I116" s="9" t="s">
        <v>269</v>
      </c>
      <c r="J116" s="9" t="s">
        <v>597</v>
      </c>
      <c r="K116" s="9" t="s">
        <v>132</v>
      </c>
      <c r="L116" s="9" t="s">
        <v>598</v>
      </c>
      <c r="M116" s="9">
        <v>0.0</v>
      </c>
      <c r="N116" s="9" t="s">
        <v>387</v>
      </c>
      <c r="O116" s="9" t="s">
        <v>277</v>
      </c>
      <c r="P116" s="9" t="s">
        <v>304</v>
      </c>
      <c r="Q116" s="9" t="s">
        <v>414</v>
      </c>
      <c r="R116" s="9" t="s">
        <v>525</v>
      </c>
      <c r="T116" s="9" t="s">
        <v>278</v>
      </c>
      <c r="U116" s="9" t="s">
        <v>599</v>
      </c>
      <c r="V116" s="9" t="s">
        <v>371</v>
      </c>
      <c r="W116" s="9">
        <v>112.0</v>
      </c>
    </row>
    <row r="117">
      <c r="A117" s="9">
        <v>197.0</v>
      </c>
      <c r="B117" s="9" t="s">
        <v>600</v>
      </c>
      <c r="C117" s="9" t="s">
        <v>268</v>
      </c>
      <c r="D117" s="9">
        <v>25.0</v>
      </c>
      <c r="E117" s="9">
        <v>3.0</v>
      </c>
      <c r="G117" s="9" t="s">
        <v>271</v>
      </c>
      <c r="H117" s="9" t="s">
        <v>282</v>
      </c>
      <c r="I117" s="9" t="s">
        <v>271</v>
      </c>
      <c r="J117" s="9" t="s">
        <v>601</v>
      </c>
      <c r="K117" s="9" t="s">
        <v>132</v>
      </c>
      <c r="L117" s="9" t="s">
        <v>482</v>
      </c>
      <c r="M117" s="9" t="s">
        <v>338</v>
      </c>
      <c r="N117" s="9" t="s">
        <v>371</v>
      </c>
      <c r="O117" s="9" t="s">
        <v>316</v>
      </c>
      <c r="P117" s="9" t="s">
        <v>371</v>
      </c>
      <c r="Q117" s="9" t="s">
        <v>347</v>
      </c>
      <c r="R117" s="9" t="s">
        <v>304</v>
      </c>
      <c r="T117" s="9" t="s">
        <v>588</v>
      </c>
      <c r="U117" s="9" t="s">
        <v>602</v>
      </c>
      <c r="V117" s="9" t="s">
        <v>338</v>
      </c>
      <c r="W117" s="9">
        <v>22.0</v>
      </c>
    </row>
    <row r="118">
      <c r="A118" s="9">
        <v>134.0</v>
      </c>
      <c r="B118" s="9" t="s">
        <v>603</v>
      </c>
      <c r="C118" s="9" t="s">
        <v>386</v>
      </c>
      <c r="D118" s="9">
        <v>26.0</v>
      </c>
      <c r="E118" s="9">
        <v>2.0</v>
      </c>
      <c r="F118" s="9" t="s">
        <v>269</v>
      </c>
      <c r="G118" s="9" t="s">
        <v>269</v>
      </c>
      <c r="H118" s="9" t="s">
        <v>289</v>
      </c>
      <c r="I118" s="9" t="s">
        <v>269</v>
      </c>
      <c r="J118" s="9" t="s">
        <v>132</v>
      </c>
      <c r="K118" s="9" t="s">
        <v>604</v>
      </c>
      <c r="L118" s="9" t="s">
        <v>419</v>
      </c>
      <c r="M118" s="9" t="s">
        <v>553</v>
      </c>
      <c r="N118" s="9" t="s">
        <v>276</v>
      </c>
      <c r="O118" s="9" t="s">
        <v>324</v>
      </c>
      <c r="P118" s="9" t="s">
        <v>285</v>
      </c>
      <c r="Q118" s="9" t="s">
        <v>321</v>
      </c>
      <c r="R118" s="9" t="s">
        <v>324</v>
      </c>
      <c r="T118" s="9" t="s">
        <v>325</v>
      </c>
      <c r="U118" s="9" t="s">
        <v>516</v>
      </c>
      <c r="V118" s="9" t="s">
        <v>338</v>
      </c>
      <c r="W118" s="9">
        <v>138.0</v>
      </c>
    </row>
    <row r="119">
      <c r="A119" s="9">
        <v>223.0</v>
      </c>
      <c r="B119" s="9" t="s">
        <v>605</v>
      </c>
      <c r="C119" s="9" t="s">
        <v>268</v>
      </c>
      <c r="D119" s="9">
        <v>26.0</v>
      </c>
      <c r="E119" s="9">
        <v>1.0</v>
      </c>
      <c r="G119" s="9" t="s">
        <v>269</v>
      </c>
      <c r="H119" s="9" t="s">
        <v>270</v>
      </c>
      <c r="I119" s="9" t="s">
        <v>269</v>
      </c>
      <c r="J119" s="9" t="s">
        <v>299</v>
      </c>
      <c r="K119" s="9" t="s">
        <v>606</v>
      </c>
      <c r="L119" s="9" t="s">
        <v>607</v>
      </c>
      <c r="M119" s="9" t="s">
        <v>387</v>
      </c>
      <c r="N119" s="9" t="s">
        <v>359</v>
      </c>
      <c r="O119" s="9" t="s">
        <v>286</v>
      </c>
      <c r="P119" s="9" t="s">
        <v>285</v>
      </c>
      <c r="Q119" s="9" t="s">
        <v>448</v>
      </c>
      <c r="R119" s="9" t="s">
        <v>286</v>
      </c>
      <c r="T119" s="9" t="s">
        <v>594</v>
      </c>
      <c r="U119" s="9" t="s">
        <v>573</v>
      </c>
      <c r="V119" s="9" t="s">
        <v>297</v>
      </c>
      <c r="W119" s="9">
        <v>20.0</v>
      </c>
    </row>
    <row r="120">
      <c r="A120" s="9">
        <v>122.0</v>
      </c>
      <c r="B120" s="9" t="s">
        <v>608</v>
      </c>
      <c r="C120" s="9" t="s">
        <v>281</v>
      </c>
      <c r="D120" s="9">
        <v>26.0</v>
      </c>
      <c r="E120" s="9">
        <v>1.0</v>
      </c>
      <c r="F120" s="9" t="s">
        <v>269</v>
      </c>
      <c r="G120" s="9" t="s">
        <v>269</v>
      </c>
      <c r="H120" s="9" t="s">
        <v>289</v>
      </c>
      <c r="I120" s="9" t="s">
        <v>269</v>
      </c>
      <c r="J120" s="9" t="s">
        <v>132</v>
      </c>
      <c r="K120" s="9" t="s">
        <v>132</v>
      </c>
      <c r="L120" s="9" t="s">
        <v>609</v>
      </c>
      <c r="M120" s="9" t="s">
        <v>400</v>
      </c>
      <c r="N120" s="9" t="s">
        <v>308</v>
      </c>
      <c r="O120" s="9" t="s">
        <v>305</v>
      </c>
      <c r="P120" s="9" t="s">
        <v>362</v>
      </c>
      <c r="Q120" s="9" t="s">
        <v>436</v>
      </c>
      <c r="R120" s="9" t="s">
        <v>297</v>
      </c>
      <c r="T120" s="9" t="s">
        <v>325</v>
      </c>
      <c r="U120" s="9" t="s">
        <v>591</v>
      </c>
      <c r="V120" s="9" t="s">
        <v>316</v>
      </c>
      <c r="W120" s="9">
        <v>117.0</v>
      </c>
    </row>
    <row r="121">
      <c r="A121" s="9">
        <v>225.0</v>
      </c>
      <c r="B121" s="9" t="s">
        <v>610</v>
      </c>
      <c r="C121" s="9" t="s">
        <v>386</v>
      </c>
      <c r="D121" s="9">
        <v>27.0</v>
      </c>
      <c r="E121" s="9">
        <v>1.0</v>
      </c>
      <c r="G121" s="9" t="s">
        <v>269</v>
      </c>
      <c r="H121" s="9" t="s">
        <v>289</v>
      </c>
      <c r="I121" s="9" t="s">
        <v>271</v>
      </c>
      <c r="J121" s="9" t="s">
        <v>611</v>
      </c>
      <c r="K121" s="9" t="s">
        <v>612</v>
      </c>
      <c r="L121" s="9" t="s">
        <v>613</v>
      </c>
      <c r="M121" s="9" t="s">
        <v>614</v>
      </c>
      <c r="N121" s="9" t="s">
        <v>387</v>
      </c>
      <c r="O121" s="9" t="s">
        <v>276</v>
      </c>
      <c r="P121" s="9" t="s">
        <v>304</v>
      </c>
      <c r="Q121" s="9" t="s">
        <v>615</v>
      </c>
      <c r="R121" s="9" t="s">
        <v>553</v>
      </c>
      <c r="T121" s="9" t="s">
        <v>616</v>
      </c>
      <c r="U121" s="9" t="s">
        <v>573</v>
      </c>
      <c r="V121" s="9" t="s">
        <v>297</v>
      </c>
      <c r="W121" s="9">
        <v>10.0</v>
      </c>
    </row>
    <row r="122">
      <c r="A122" s="9">
        <v>142.0</v>
      </c>
      <c r="B122" s="9" t="s">
        <v>617</v>
      </c>
      <c r="C122" s="9" t="s">
        <v>333</v>
      </c>
      <c r="D122" s="9">
        <v>27.0</v>
      </c>
      <c r="E122" s="9">
        <v>1.0</v>
      </c>
      <c r="F122" s="9" t="s">
        <v>269</v>
      </c>
      <c r="G122" s="9" t="s">
        <v>497</v>
      </c>
      <c r="H122" s="9" t="s">
        <v>289</v>
      </c>
      <c r="I122" s="9" t="s">
        <v>271</v>
      </c>
      <c r="J122" s="9" t="s">
        <v>555</v>
      </c>
      <c r="K122" s="9" t="s">
        <v>132</v>
      </c>
      <c r="L122" s="9" t="s">
        <v>543</v>
      </c>
      <c r="M122" s="9" t="s">
        <v>465</v>
      </c>
      <c r="N122" s="9" t="s">
        <v>433</v>
      </c>
      <c r="O122" s="9" t="s">
        <v>465</v>
      </c>
      <c r="P122" s="9" t="s">
        <v>362</v>
      </c>
      <c r="Q122" s="9" t="s">
        <v>347</v>
      </c>
      <c r="R122" s="9" t="s">
        <v>324</v>
      </c>
      <c r="T122" s="9" t="s">
        <v>618</v>
      </c>
      <c r="U122" s="9" t="s">
        <v>296</v>
      </c>
      <c r="V122" s="9" t="s">
        <v>371</v>
      </c>
      <c r="W122" s="9">
        <v>95.0</v>
      </c>
    </row>
    <row r="123">
      <c r="A123" s="9">
        <v>48.0</v>
      </c>
      <c r="B123" s="9" t="s">
        <v>619</v>
      </c>
      <c r="C123" s="9" t="s">
        <v>386</v>
      </c>
      <c r="D123" s="9">
        <v>28.0</v>
      </c>
      <c r="E123" s="9">
        <v>3.0</v>
      </c>
      <c r="F123" s="9" t="s">
        <v>269</v>
      </c>
      <c r="G123" s="9" t="s">
        <v>269</v>
      </c>
      <c r="H123" s="9" t="s">
        <v>289</v>
      </c>
      <c r="I123" s="9" t="s">
        <v>271</v>
      </c>
      <c r="J123" s="9" t="s">
        <v>521</v>
      </c>
      <c r="K123" s="9" t="s">
        <v>132</v>
      </c>
      <c r="L123" s="9" t="s">
        <v>399</v>
      </c>
      <c r="M123" s="9" t="s">
        <v>371</v>
      </c>
      <c r="N123" s="9" t="s">
        <v>308</v>
      </c>
      <c r="O123" s="9" t="s">
        <v>285</v>
      </c>
      <c r="P123" s="9" t="s">
        <v>304</v>
      </c>
      <c r="Q123" s="9" t="s">
        <v>347</v>
      </c>
      <c r="R123" s="9" t="s">
        <v>285</v>
      </c>
      <c r="T123" s="9" t="s">
        <v>329</v>
      </c>
      <c r="U123" s="9" t="s">
        <v>295</v>
      </c>
      <c r="V123" s="9" t="s">
        <v>448</v>
      </c>
      <c r="W123" s="9">
        <v>125.0</v>
      </c>
    </row>
    <row r="124">
      <c r="A124" s="9">
        <v>140.0</v>
      </c>
      <c r="B124" s="9" t="s">
        <v>620</v>
      </c>
      <c r="C124" s="9" t="s">
        <v>333</v>
      </c>
      <c r="D124" s="9">
        <v>29.0</v>
      </c>
      <c r="E124" s="9">
        <v>1.0</v>
      </c>
      <c r="F124" s="9" t="s">
        <v>269</v>
      </c>
      <c r="G124" s="9" t="s">
        <v>269</v>
      </c>
      <c r="H124" s="9" t="s">
        <v>289</v>
      </c>
      <c r="I124" s="9" t="s">
        <v>269</v>
      </c>
      <c r="J124" s="9" t="s">
        <v>621</v>
      </c>
      <c r="K124" s="9" t="s">
        <v>132</v>
      </c>
      <c r="L124" s="9" t="s">
        <v>482</v>
      </c>
      <c r="M124" s="9" t="s">
        <v>338</v>
      </c>
      <c r="N124" s="9" t="s">
        <v>586</v>
      </c>
      <c r="O124" s="9" t="s">
        <v>286</v>
      </c>
      <c r="P124" s="9" t="s">
        <v>285</v>
      </c>
      <c r="Q124" s="9" t="s">
        <v>436</v>
      </c>
      <c r="R124" s="9" t="s">
        <v>285</v>
      </c>
      <c r="T124" s="9" t="s">
        <v>622</v>
      </c>
      <c r="U124" s="9" t="s">
        <v>547</v>
      </c>
      <c r="V124" s="9" t="s">
        <v>286</v>
      </c>
      <c r="W124" s="9">
        <v>74.0</v>
      </c>
    </row>
    <row r="125">
      <c r="A125" s="9">
        <v>119.0</v>
      </c>
      <c r="B125" s="9" t="s">
        <v>623</v>
      </c>
      <c r="C125" s="9" t="s">
        <v>386</v>
      </c>
      <c r="D125" s="9">
        <v>29.0</v>
      </c>
      <c r="E125" s="9">
        <v>2.0</v>
      </c>
      <c r="F125" s="9" t="s">
        <v>269</v>
      </c>
      <c r="G125" s="9" t="s">
        <v>269</v>
      </c>
      <c r="H125" s="9" t="s">
        <v>289</v>
      </c>
      <c r="I125" s="9" t="s">
        <v>271</v>
      </c>
      <c r="J125" s="9" t="s">
        <v>438</v>
      </c>
      <c r="K125" s="9" t="s">
        <v>132</v>
      </c>
      <c r="L125" s="9" t="s">
        <v>482</v>
      </c>
      <c r="M125" s="9" t="s">
        <v>465</v>
      </c>
      <c r="N125" s="9" t="s">
        <v>387</v>
      </c>
      <c r="O125" s="9" t="s">
        <v>286</v>
      </c>
      <c r="P125" s="9" t="s">
        <v>362</v>
      </c>
      <c r="Q125" s="9" t="s">
        <v>436</v>
      </c>
      <c r="R125" s="9" t="s">
        <v>308</v>
      </c>
      <c r="T125" s="9" t="s">
        <v>599</v>
      </c>
      <c r="U125" s="9" t="s">
        <v>532</v>
      </c>
      <c r="V125" s="9" t="s">
        <v>465</v>
      </c>
      <c r="W125" s="9">
        <v>136.0</v>
      </c>
    </row>
    <row r="126">
      <c r="A126" s="9">
        <v>69.0</v>
      </c>
      <c r="B126" s="9" t="s">
        <v>127</v>
      </c>
      <c r="C126" s="9" t="s">
        <v>294</v>
      </c>
      <c r="D126" s="9">
        <v>29.0</v>
      </c>
      <c r="E126" s="9">
        <v>1.0</v>
      </c>
      <c r="F126" s="9" t="s">
        <v>271</v>
      </c>
      <c r="G126" s="9" t="s">
        <v>269</v>
      </c>
      <c r="H126" s="9" t="s">
        <v>270</v>
      </c>
      <c r="I126" s="9" t="s">
        <v>271</v>
      </c>
      <c r="J126" s="9" t="s">
        <v>624</v>
      </c>
      <c r="K126" s="9" t="s">
        <v>132</v>
      </c>
      <c r="L126" s="9" t="s">
        <v>625</v>
      </c>
      <c r="M126" s="9" t="s">
        <v>359</v>
      </c>
      <c r="N126" s="9" t="s">
        <v>359</v>
      </c>
      <c r="O126" s="9" t="s">
        <v>359</v>
      </c>
      <c r="P126" s="9" t="s">
        <v>304</v>
      </c>
      <c r="Q126" s="9" t="s">
        <v>626</v>
      </c>
      <c r="R126" s="9" t="s">
        <v>304</v>
      </c>
      <c r="T126" s="9" t="s">
        <v>627</v>
      </c>
      <c r="U126" s="9" t="s">
        <v>480</v>
      </c>
      <c r="V126" s="9" t="s">
        <v>338</v>
      </c>
      <c r="W126" s="9">
        <v>106.0</v>
      </c>
    </row>
    <row r="127">
      <c r="B127" s="9" t="s">
        <v>628</v>
      </c>
      <c r="C127" s="9" t="s">
        <v>268</v>
      </c>
      <c r="D127" s="9">
        <v>30.0</v>
      </c>
      <c r="E127" s="9">
        <v>1.0</v>
      </c>
      <c r="G127" s="9" t="s">
        <v>271</v>
      </c>
      <c r="H127" s="9" t="s">
        <v>282</v>
      </c>
      <c r="I127" s="9" t="s">
        <v>271</v>
      </c>
      <c r="J127" s="9" t="s">
        <v>601</v>
      </c>
      <c r="K127" s="9" t="s">
        <v>629</v>
      </c>
      <c r="L127" s="9" t="s">
        <v>630</v>
      </c>
      <c r="M127" s="9" t="s">
        <v>513</v>
      </c>
      <c r="N127" s="9" t="s">
        <v>286</v>
      </c>
      <c r="O127" s="9" t="s">
        <v>631</v>
      </c>
      <c r="P127" s="9" t="s">
        <v>371</v>
      </c>
      <c r="Q127" s="9" t="s">
        <v>485</v>
      </c>
      <c r="R127" s="9" t="s">
        <v>632</v>
      </c>
      <c r="T127" s="9" t="s">
        <v>633</v>
      </c>
      <c r="U127" s="9" t="s">
        <v>634</v>
      </c>
      <c r="V127" s="9" t="s">
        <v>371</v>
      </c>
      <c r="W127" s="9">
        <v>12.0</v>
      </c>
    </row>
    <row r="128">
      <c r="A128" s="9">
        <v>173.0</v>
      </c>
      <c r="B128" s="9" t="s">
        <v>635</v>
      </c>
      <c r="C128" s="9" t="s">
        <v>268</v>
      </c>
      <c r="D128" s="9">
        <v>30.0</v>
      </c>
      <c r="E128" s="9">
        <v>1.0</v>
      </c>
      <c r="F128" s="9" t="s">
        <v>269</v>
      </c>
      <c r="G128" s="9" t="s">
        <v>269</v>
      </c>
      <c r="H128" s="9" t="s">
        <v>270</v>
      </c>
      <c r="I128" s="9" t="s">
        <v>269</v>
      </c>
      <c r="J128" s="9" t="s">
        <v>636</v>
      </c>
      <c r="K128" s="9" t="s">
        <v>132</v>
      </c>
      <c r="L128" s="9" t="s">
        <v>637</v>
      </c>
      <c r="M128" s="9" t="s">
        <v>522</v>
      </c>
      <c r="N128" s="9" t="s">
        <v>286</v>
      </c>
      <c r="O128" s="9" t="s">
        <v>324</v>
      </c>
      <c r="P128" s="9" t="s">
        <v>304</v>
      </c>
      <c r="Q128" s="9" t="s">
        <v>279</v>
      </c>
      <c r="R128" s="9" t="s">
        <v>286</v>
      </c>
      <c r="T128" s="9" t="s">
        <v>599</v>
      </c>
      <c r="U128" s="9" t="s">
        <v>532</v>
      </c>
      <c r="V128" s="9" t="s">
        <v>359</v>
      </c>
      <c r="W128" s="9">
        <v>129.0</v>
      </c>
    </row>
    <row r="129">
      <c r="A129" s="9">
        <v>201.0</v>
      </c>
      <c r="B129" s="9" t="s">
        <v>638</v>
      </c>
      <c r="C129" s="9" t="s">
        <v>281</v>
      </c>
      <c r="D129" s="9">
        <v>30.0</v>
      </c>
      <c r="E129" s="9">
        <v>1.0</v>
      </c>
      <c r="F129" s="9" t="s">
        <v>269</v>
      </c>
      <c r="G129" s="9" t="s">
        <v>269</v>
      </c>
      <c r="H129" s="9" t="s">
        <v>270</v>
      </c>
      <c r="I129" s="9" t="s">
        <v>271</v>
      </c>
      <c r="J129" s="9" t="s">
        <v>639</v>
      </c>
      <c r="K129" s="9" t="s">
        <v>319</v>
      </c>
      <c r="L129" s="9" t="s">
        <v>429</v>
      </c>
      <c r="M129" s="9" t="s">
        <v>286</v>
      </c>
      <c r="N129" s="9" t="s">
        <v>414</v>
      </c>
      <c r="O129" s="9" t="s">
        <v>331</v>
      </c>
      <c r="P129" s="9" t="s">
        <v>324</v>
      </c>
      <c r="Q129" s="9" t="s">
        <v>485</v>
      </c>
      <c r="R129" s="9" t="s">
        <v>396</v>
      </c>
      <c r="T129" s="9" t="s">
        <v>599</v>
      </c>
      <c r="U129" s="9" t="s">
        <v>640</v>
      </c>
      <c r="V129" s="9" t="s">
        <v>286</v>
      </c>
      <c r="W129" s="9">
        <v>92.0</v>
      </c>
    </row>
    <row r="130">
      <c r="A130" s="9">
        <v>100.0</v>
      </c>
      <c r="B130" s="9" t="s">
        <v>641</v>
      </c>
      <c r="C130" s="9" t="s">
        <v>281</v>
      </c>
      <c r="D130" s="9">
        <v>31.0</v>
      </c>
      <c r="E130" s="9">
        <v>1.0</v>
      </c>
      <c r="F130" s="9" t="s">
        <v>269</v>
      </c>
      <c r="G130" s="9" t="s">
        <v>269</v>
      </c>
      <c r="H130" s="9" t="s">
        <v>270</v>
      </c>
      <c r="I130" s="9" t="s">
        <v>269</v>
      </c>
      <c r="J130" s="9" t="s">
        <v>132</v>
      </c>
      <c r="K130" s="9" t="s">
        <v>132</v>
      </c>
      <c r="L130" s="9" t="s">
        <v>637</v>
      </c>
      <c r="M130" s="9" t="s">
        <v>642</v>
      </c>
      <c r="N130" s="9" t="s">
        <v>324</v>
      </c>
      <c r="O130" s="9" t="s">
        <v>286</v>
      </c>
      <c r="P130" s="9" t="s">
        <v>304</v>
      </c>
      <c r="Q130" s="9" t="s">
        <v>347</v>
      </c>
      <c r="R130" s="9" t="s">
        <v>643</v>
      </c>
      <c r="T130" s="9" t="s">
        <v>325</v>
      </c>
      <c r="U130" s="9" t="s">
        <v>644</v>
      </c>
      <c r="V130" s="9" t="s">
        <v>331</v>
      </c>
      <c r="W130" s="9">
        <v>32.0</v>
      </c>
    </row>
    <row r="131">
      <c r="A131" s="9">
        <v>144.0</v>
      </c>
      <c r="B131" s="9" t="s">
        <v>645</v>
      </c>
      <c r="C131" s="9" t="s">
        <v>333</v>
      </c>
      <c r="D131" s="9">
        <v>31.0</v>
      </c>
      <c r="E131" s="9">
        <v>6.0</v>
      </c>
      <c r="F131" s="9" t="s">
        <v>269</v>
      </c>
      <c r="G131" s="9" t="s">
        <v>269</v>
      </c>
      <c r="H131" s="9" t="s">
        <v>289</v>
      </c>
      <c r="I131" s="9" t="s">
        <v>269</v>
      </c>
      <c r="J131" s="9" t="s">
        <v>646</v>
      </c>
      <c r="K131" s="9" t="s">
        <v>132</v>
      </c>
      <c r="L131" s="9" t="s">
        <v>488</v>
      </c>
      <c r="M131" s="9" t="s">
        <v>286</v>
      </c>
      <c r="N131" s="9" t="s">
        <v>309</v>
      </c>
      <c r="O131" s="9" t="s">
        <v>304</v>
      </c>
      <c r="P131" s="9" t="s">
        <v>304</v>
      </c>
      <c r="Q131" s="9" t="s">
        <v>448</v>
      </c>
      <c r="R131" s="9" t="s">
        <v>387</v>
      </c>
      <c r="T131" s="9" t="s">
        <v>514</v>
      </c>
      <c r="U131" s="9" t="s">
        <v>486</v>
      </c>
      <c r="V131" s="9" t="s">
        <v>316</v>
      </c>
      <c r="W131" s="9">
        <v>149.0</v>
      </c>
    </row>
    <row r="132">
      <c r="A132" s="9">
        <v>141.0</v>
      </c>
      <c r="B132" s="9" t="s">
        <v>647</v>
      </c>
      <c r="C132" s="9" t="s">
        <v>333</v>
      </c>
      <c r="D132" s="9">
        <v>32.0</v>
      </c>
      <c r="E132" s="9">
        <v>2.0</v>
      </c>
      <c r="G132" s="9" t="s">
        <v>269</v>
      </c>
      <c r="H132" s="9" t="s">
        <v>282</v>
      </c>
      <c r="I132" s="9" t="s">
        <v>269</v>
      </c>
      <c r="J132" s="9" t="s">
        <v>132</v>
      </c>
      <c r="K132" s="9" t="s">
        <v>132</v>
      </c>
      <c r="L132" s="9" t="s">
        <v>648</v>
      </c>
      <c r="M132" s="9" t="s">
        <v>571</v>
      </c>
      <c r="N132" s="9" t="s">
        <v>275</v>
      </c>
      <c r="O132" s="9" t="s">
        <v>286</v>
      </c>
      <c r="P132" s="9" t="s">
        <v>284</v>
      </c>
      <c r="Q132" s="9" t="s">
        <v>279</v>
      </c>
      <c r="R132" s="9" t="s">
        <v>632</v>
      </c>
      <c r="T132" s="9" t="s">
        <v>516</v>
      </c>
      <c r="U132" s="9" t="s">
        <v>296</v>
      </c>
      <c r="V132" s="9" t="s">
        <v>400</v>
      </c>
      <c r="W132" s="9">
        <v>23.0</v>
      </c>
    </row>
    <row r="133">
      <c r="A133" s="9">
        <v>210.0</v>
      </c>
      <c r="B133" s="9" t="s">
        <v>649</v>
      </c>
      <c r="C133" s="9" t="s">
        <v>281</v>
      </c>
      <c r="D133" s="9">
        <v>33.0</v>
      </c>
      <c r="E133" s="9">
        <v>1.0</v>
      </c>
      <c r="F133" s="9" t="s">
        <v>271</v>
      </c>
      <c r="G133" s="9" t="s">
        <v>269</v>
      </c>
      <c r="H133" s="9" t="s">
        <v>270</v>
      </c>
      <c r="I133" s="9" t="s">
        <v>269</v>
      </c>
      <c r="J133" s="9" t="s">
        <v>650</v>
      </c>
      <c r="K133" s="9" t="s">
        <v>132</v>
      </c>
      <c r="L133" s="9" t="s">
        <v>651</v>
      </c>
      <c r="M133" s="9" t="s">
        <v>433</v>
      </c>
      <c r="N133" s="9" t="s">
        <v>338</v>
      </c>
      <c r="O133" s="9" t="s">
        <v>522</v>
      </c>
      <c r="P133" s="9" t="s">
        <v>285</v>
      </c>
      <c r="Q133" s="9" t="s">
        <v>485</v>
      </c>
      <c r="R133" s="9" t="s">
        <v>553</v>
      </c>
      <c r="T133" s="9" t="s">
        <v>652</v>
      </c>
      <c r="U133" s="9" t="s">
        <v>653</v>
      </c>
      <c r="V133" s="9" t="s">
        <v>371</v>
      </c>
      <c r="W133" s="9">
        <v>45.0</v>
      </c>
    </row>
    <row r="134">
      <c r="A134" s="9">
        <v>120.0</v>
      </c>
      <c r="B134" s="9" t="s">
        <v>654</v>
      </c>
      <c r="C134" s="9" t="s">
        <v>386</v>
      </c>
      <c r="D134" s="9">
        <v>33.0</v>
      </c>
      <c r="E134" s="9">
        <v>6.0</v>
      </c>
      <c r="F134" s="9" t="s">
        <v>269</v>
      </c>
      <c r="G134" s="9" t="s">
        <v>269</v>
      </c>
      <c r="H134" s="9" t="s">
        <v>289</v>
      </c>
      <c r="I134" s="9" t="s">
        <v>271</v>
      </c>
      <c r="J134" s="9" t="s">
        <v>381</v>
      </c>
      <c r="K134" s="9" t="s">
        <v>132</v>
      </c>
      <c r="L134" s="9" t="s">
        <v>488</v>
      </c>
      <c r="M134" s="9" t="s">
        <v>338</v>
      </c>
      <c r="N134" s="9" t="s">
        <v>338</v>
      </c>
      <c r="O134" s="9" t="s">
        <v>465</v>
      </c>
      <c r="P134" s="9" t="s">
        <v>285</v>
      </c>
      <c r="Q134" s="9" t="s">
        <v>321</v>
      </c>
      <c r="R134" s="9" t="s">
        <v>286</v>
      </c>
      <c r="T134" s="9" t="s">
        <v>578</v>
      </c>
      <c r="U134" s="9" t="s">
        <v>532</v>
      </c>
      <c r="V134" s="9" t="s">
        <v>338</v>
      </c>
      <c r="W134" s="9">
        <v>130.0</v>
      </c>
    </row>
    <row r="135">
      <c r="A135" s="9">
        <v>194.0</v>
      </c>
      <c r="B135" s="9" t="s">
        <v>655</v>
      </c>
      <c r="C135" s="9" t="s">
        <v>333</v>
      </c>
      <c r="D135" s="9">
        <v>33.0</v>
      </c>
      <c r="E135" s="9">
        <v>1.0</v>
      </c>
      <c r="F135" s="9" t="s">
        <v>269</v>
      </c>
      <c r="G135" s="9" t="s">
        <v>269</v>
      </c>
      <c r="H135" s="9" t="s">
        <v>270</v>
      </c>
      <c r="I135" s="9" t="s">
        <v>269</v>
      </c>
      <c r="J135" s="9" t="s">
        <v>494</v>
      </c>
      <c r="K135" s="9" t="s">
        <v>495</v>
      </c>
      <c r="L135" s="9" t="s">
        <v>472</v>
      </c>
      <c r="M135" s="9" t="s">
        <v>305</v>
      </c>
      <c r="N135" s="9" t="s">
        <v>433</v>
      </c>
      <c r="O135" s="9" t="s">
        <v>297</v>
      </c>
      <c r="P135" s="9" t="s">
        <v>276</v>
      </c>
      <c r="Q135" s="9" t="s">
        <v>279</v>
      </c>
      <c r="R135" s="9" t="s">
        <v>286</v>
      </c>
      <c r="T135" s="9" t="s">
        <v>296</v>
      </c>
      <c r="U135" s="9" t="s">
        <v>514</v>
      </c>
      <c r="V135" s="9" t="s">
        <v>286</v>
      </c>
      <c r="W135" s="9">
        <v>62.0</v>
      </c>
    </row>
    <row r="136">
      <c r="A136" s="9">
        <v>145.0</v>
      </c>
      <c r="B136" s="9" t="s">
        <v>656</v>
      </c>
      <c r="C136" s="9" t="s">
        <v>333</v>
      </c>
      <c r="D136" s="9">
        <v>33.0</v>
      </c>
      <c r="E136" s="9">
        <v>1.0</v>
      </c>
      <c r="F136" s="9" t="s">
        <v>269</v>
      </c>
      <c r="G136" s="9" t="s">
        <v>269</v>
      </c>
      <c r="H136" s="9" t="s">
        <v>289</v>
      </c>
      <c r="I136" s="9" t="s">
        <v>269</v>
      </c>
      <c r="J136" s="9" t="s">
        <v>299</v>
      </c>
      <c r="K136" s="9" t="s">
        <v>132</v>
      </c>
      <c r="L136" s="9" t="s">
        <v>580</v>
      </c>
      <c r="M136" s="9" t="s">
        <v>571</v>
      </c>
      <c r="N136" s="9" t="s">
        <v>657</v>
      </c>
      <c r="O136" s="9" t="s">
        <v>286</v>
      </c>
      <c r="P136" s="9" t="s">
        <v>304</v>
      </c>
      <c r="Q136" s="9" t="s">
        <v>436</v>
      </c>
      <c r="R136" s="9" t="s">
        <v>525</v>
      </c>
      <c r="T136" s="9" t="s">
        <v>516</v>
      </c>
      <c r="U136" s="9" t="s">
        <v>330</v>
      </c>
      <c r="V136" s="9" t="s">
        <v>465</v>
      </c>
      <c r="W136" s="9">
        <v>101.0</v>
      </c>
    </row>
    <row r="137">
      <c r="A137" s="9">
        <v>139.0</v>
      </c>
      <c r="B137" s="9" t="s">
        <v>658</v>
      </c>
      <c r="C137" s="9" t="s">
        <v>386</v>
      </c>
      <c r="D137" s="9">
        <v>34.0</v>
      </c>
      <c r="E137" s="9">
        <v>1.0</v>
      </c>
      <c r="F137" s="9" t="s">
        <v>269</v>
      </c>
      <c r="G137" s="9" t="s">
        <v>269</v>
      </c>
      <c r="H137" s="9" t="s">
        <v>282</v>
      </c>
      <c r="I137" s="9" t="s">
        <v>271</v>
      </c>
      <c r="J137" s="9" t="s">
        <v>132</v>
      </c>
      <c r="K137" s="9" t="s">
        <v>132</v>
      </c>
      <c r="L137" s="9" t="s">
        <v>659</v>
      </c>
      <c r="M137" s="9" t="s">
        <v>400</v>
      </c>
      <c r="N137" s="9" t="s">
        <v>371</v>
      </c>
      <c r="O137" s="9" t="s">
        <v>586</v>
      </c>
      <c r="P137" s="9" t="s">
        <v>304</v>
      </c>
      <c r="Q137" s="9" t="s">
        <v>448</v>
      </c>
      <c r="R137" s="9" t="s">
        <v>660</v>
      </c>
      <c r="T137" s="9" t="s">
        <v>373</v>
      </c>
      <c r="U137" s="9" t="s">
        <v>373</v>
      </c>
      <c r="V137" s="9" t="s">
        <v>297</v>
      </c>
      <c r="W137" s="9">
        <v>15.0</v>
      </c>
    </row>
    <row r="138">
      <c r="A138" s="9">
        <v>221.0</v>
      </c>
      <c r="B138" s="9" t="s">
        <v>661</v>
      </c>
      <c r="C138" s="9" t="s">
        <v>281</v>
      </c>
      <c r="D138" s="9">
        <v>35.0</v>
      </c>
      <c r="E138" s="9">
        <v>3.0</v>
      </c>
      <c r="F138" s="9" t="s">
        <v>269</v>
      </c>
      <c r="G138" s="9" t="s">
        <v>662</v>
      </c>
      <c r="H138" s="9" t="s">
        <v>282</v>
      </c>
      <c r="I138" s="9" t="s">
        <v>269</v>
      </c>
      <c r="J138" s="9" t="s">
        <v>663</v>
      </c>
      <c r="K138" s="9" t="s">
        <v>664</v>
      </c>
      <c r="L138" s="9" t="s">
        <v>665</v>
      </c>
      <c r="M138" s="9" t="s">
        <v>457</v>
      </c>
      <c r="N138" s="9" t="s">
        <v>465</v>
      </c>
      <c r="O138" s="9" t="s">
        <v>525</v>
      </c>
      <c r="P138" s="9" t="s">
        <v>353</v>
      </c>
      <c r="Q138" s="9" t="s">
        <v>666</v>
      </c>
      <c r="R138" s="9" t="s">
        <v>277</v>
      </c>
      <c r="T138" s="9" t="s">
        <v>667</v>
      </c>
      <c r="U138" s="9" t="s">
        <v>498</v>
      </c>
      <c r="W138" s="9">
        <v>2.0</v>
      </c>
    </row>
    <row r="139">
      <c r="A139" s="9">
        <v>204.0</v>
      </c>
      <c r="B139" s="9" t="s">
        <v>668</v>
      </c>
      <c r="C139" s="9" t="s">
        <v>294</v>
      </c>
      <c r="D139" s="9">
        <v>35.0</v>
      </c>
      <c r="E139" s="9">
        <v>1.0</v>
      </c>
      <c r="G139" s="9" t="s">
        <v>269</v>
      </c>
      <c r="H139" s="9" t="s">
        <v>289</v>
      </c>
      <c r="I139" s="9" t="s">
        <v>269</v>
      </c>
      <c r="J139" s="9" t="s">
        <v>132</v>
      </c>
      <c r="K139" s="9" t="s">
        <v>669</v>
      </c>
      <c r="L139" s="9" t="s">
        <v>670</v>
      </c>
      <c r="M139" s="9" t="s">
        <v>522</v>
      </c>
      <c r="N139" s="9" t="s">
        <v>387</v>
      </c>
      <c r="O139" s="9" t="s">
        <v>331</v>
      </c>
      <c r="P139" s="9" t="s">
        <v>522</v>
      </c>
      <c r="Q139" s="9" t="s">
        <v>388</v>
      </c>
      <c r="R139" s="9" t="s">
        <v>387</v>
      </c>
      <c r="T139" s="9" t="s">
        <v>573</v>
      </c>
      <c r="U139" s="9" t="s">
        <v>671</v>
      </c>
      <c r="V139" s="9" t="s">
        <v>465</v>
      </c>
      <c r="W139" s="9">
        <v>22.0</v>
      </c>
    </row>
    <row r="140">
      <c r="A140" s="9">
        <v>168.0</v>
      </c>
      <c r="B140" s="9" t="s">
        <v>672</v>
      </c>
      <c r="C140" s="9" t="s">
        <v>333</v>
      </c>
      <c r="D140" s="9">
        <v>35.0</v>
      </c>
      <c r="E140" s="9">
        <v>2.0</v>
      </c>
      <c r="F140" s="9" t="s">
        <v>269</v>
      </c>
      <c r="G140" s="9" t="s">
        <v>269</v>
      </c>
      <c r="H140" s="9" t="s">
        <v>270</v>
      </c>
      <c r="I140" s="9" t="s">
        <v>269</v>
      </c>
      <c r="J140" s="9" t="s">
        <v>368</v>
      </c>
      <c r="K140" s="9" t="s">
        <v>132</v>
      </c>
      <c r="L140" s="9" t="s">
        <v>334</v>
      </c>
      <c r="M140" s="9" t="s">
        <v>387</v>
      </c>
      <c r="N140" s="9" t="s">
        <v>286</v>
      </c>
      <c r="O140" s="9" t="s">
        <v>387</v>
      </c>
      <c r="P140" s="9" t="s">
        <v>324</v>
      </c>
      <c r="Q140" s="9" t="s">
        <v>347</v>
      </c>
      <c r="R140" s="9" t="s">
        <v>286</v>
      </c>
      <c r="T140" s="9" t="s">
        <v>480</v>
      </c>
      <c r="U140" s="9" t="s">
        <v>673</v>
      </c>
      <c r="V140" s="9" t="s">
        <v>308</v>
      </c>
      <c r="W140" s="9">
        <v>117.0</v>
      </c>
    </row>
    <row r="141">
      <c r="A141" s="9">
        <v>203.0</v>
      </c>
      <c r="B141" s="9" t="s">
        <v>674</v>
      </c>
      <c r="C141" s="9" t="s">
        <v>268</v>
      </c>
      <c r="D141" s="9">
        <v>36.0</v>
      </c>
      <c r="E141" s="9">
        <v>1.0</v>
      </c>
      <c r="F141" s="9" t="s">
        <v>269</v>
      </c>
      <c r="G141" s="9" t="s">
        <v>269</v>
      </c>
      <c r="H141" s="9" t="s">
        <v>270</v>
      </c>
      <c r="I141" s="9" t="s">
        <v>269</v>
      </c>
      <c r="J141" s="9" t="s">
        <v>501</v>
      </c>
      <c r="K141" s="9" t="s">
        <v>132</v>
      </c>
      <c r="L141" s="9" t="s">
        <v>479</v>
      </c>
      <c r="M141" s="9" t="s">
        <v>331</v>
      </c>
      <c r="N141" s="9" t="s">
        <v>522</v>
      </c>
      <c r="O141" s="9" t="s">
        <v>433</v>
      </c>
      <c r="P141" s="9" t="s">
        <v>276</v>
      </c>
      <c r="Q141" s="9" t="s">
        <v>279</v>
      </c>
      <c r="R141" s="9" t="s">
        <v>286</v>
      </c>
      <c r="T141" s="9" t="s">
        <v>602</v>
      </c>
      <c r="U141" s="9" t="s">
        <v>572</v>
      </c>
      <c r="V141" s="9" t="s">
        <v>359</v>
      </c>
      <c r="W141" s="9">
        <v>44.0</v>
      </c>
    </row>
    <row r="142">
      <c r="A142" s="9">
        <v>146.0</v>
      </c>
      <c r="B142" s="9" t="s">
        <v>675</v>
      </c>
      <c r="C142" s="9" t="s">
        <v>386</v>
      </c>
      <c r="D142" s="9">
        <v>36.0</v>
      </c>
      <c r="E142" s="9">
        <v>2.0</v>
      </c>
      <c r="F142" s="9" t="s">
        <v>269</v>
      </c>
      <c r="G142" s="9" t="s">
        <v>269</v>
      </c>
      <c r="H142" s="9" t="s">
        <v>270</v>
      </c>
      <c r="I142" s="9" t="s">
        <v>271</v>
      </c>
      <c r="J142" s="9" t="s">
        <v>467</v>
      </c>
      <c r="K142" s="9" t="s">
        <v>132</v>
      </c>
      <c r="L142" s="9" t="s">
        <v>560</v>
      </c>
      <c r="M142" s="9" t="s">
        <v>522</v>
      </c>
      <c r="N142" s="9" t="s">
        <v>433</v>
      </c>
      <c r="O142" s="9" t="s">
        <v>338</v>
      </c>
      <c r="P142" s="9" t="s">
        <v>324</v>
      </c>
      <c r="Q142" s="9" t="s">
        <v>321</v>
      </c>
      <c r="R142" s="9" t="s">
        <v>387</v>
      </c>
      <c r="T142" s="9" t="s">
        <v>599</v>
      </c>
      <c r="U142" s="9" t="s">
        <v>372</v>
      </c>
      <c r="V142" s="9" t="s">
        <v>371</v>
      </c>
      <c r="W142" s="9">
        <v>81.0</v>
      </c>
    </row>
    <row r="143">
      <c r="A143" s="9">
        <v>215.0</v>
      </c>
      <c r="B143" s="9" t="s">
        <v>676</v>
      </c>
      <c r="C143" s="9" t="s">
        <v>333</v>
      </c>
      <c r="D143" s="9">
        <v>37.0</v>
      </c>
      <c r="E143" s="9">
        <v>1.0</v>
      </c>
      <c r="F143" s="9" t="s">
        <v>269</v>
      </c>
      <c r="G143" s="9" t="s">
        <v>271</v>
      </c>
      <c r="H143" s="9" t="s">
        <v>282</v>
      </c>
      <c r="I143" s="9" t="s">
        <v>271</v>
      </c>
      <c r="J143" s="9" t="s">
        <v>352</v>
      </c>
      <c r="K143" s="9" t="s">
        <v>542</v>
      </c>
      <c r="L143" s="9" t="s">
        <v>677</v>
      </c>
      <c r="M143" s="9" t="s">
        <v>305</v>
      </c>
      <c r="N143" s="9" t="s">
        <v>277</v>
      </c>
      <c r="O143" s="9" t="s">
        <v>396</v>
      </c>
      <c r="P143" s="9" t="s">
        <v>308</v>
      </c>
      <c r="Q143" s="9" t="s">
        <v>414</v>
      </c>
      <c r="R143" s="9" t="s">
        <v>564</v>
      </c>
      <c r="T143" s="9" t="s">
        <v>325</v>
      </c>
      <c r="V143" s="9" t="s">
        <v>297</v>
      </c>
      <c r="W143" s="9">
        <v>91.0</v>
      </c>
    </row>
    <row r="144">
      <c r="A144" s="9">
        <v>147.0</v>
      </c>
      <c r="B144" s="9" t="s">
        <v>678</v>
      </c>
      <c r="C144" s="9" t="s">
        <v>294</v>
      </c>
      <c r="D144" s="9">
        <v>37.0</v>
      </c>
      <c r="E144" s="9">
        <v>1.0</v>
      </c>
      <c r="F144" s="9" t="s">
        <v>269</v>
      </c>
      <c r="G144" s="9" t="s">
        <v>269</v>
      </c>
      <c r="H144" s="9" t="s">
        <v>289</v>
      </c>
      <c r="I144" s="9" t="s">
        <v>271</v>
      </c>
      <c r="J144" s="9" t="s">
        <v>679</v>
      </c>
      <c r="K144" s="9" t="s">
        <v>132</v>
      </c>
      <c r="L144" s="9" t="s">
        <v>609</v>
      </c>
      <c r="M144" s="9" t="s">
        <v>680</v>
      </c>
      <c r="N144" s="9" t="s">
        <v>522</v>
      </c>
      <c r="O144" s="9" t="s">
        <v>297</v>
      </c>
      <c r="P144" s="9" t="s">
        <v>362</v>
      </c>
      <c r="Q144" s="9" t="s">
        <v>347</v>
      </c>
      <c r="R144" s="9" t="s">
        <v>304</v>
      </c>
      <c r="T144" s="9" t="s">
        <v>681</v>
      </c>
      <c r="U144" s="9" t="s">
        <v>681</v>
      </c>
      <c r="V144" s="9" t="s">
        <v>331</v>
      </c>
      <c r="W144" s="9">
        <v>144.0</v>
      </c>
    </row>
    <row r="145">
      <c r="A145" s="9">
        <v>199.0</v>
      </c>
      <c r="B145" s="9" t="s">
        <v>682</v>
      </c>
      <c r="C145" s="9" t="s">
        <v>268</v>
      </c>
      <c r="D145" s="9">
        <v>38.0</v>
      </c>
      <c r="E145" s="9">
        <v>1.0</v>
      </c>
      <c r="F145" s="9" t="s">
        <v>269</v>
      </c>
      <c r="G145" s="9" t="s">
        <v>269</v>
      </c>
      <c r="H145" s="9" t="s">
        <v>289</v>
      </c>
      <c r="I145" s="9" t="s">
        <v>269</v>
      </c>
      <c r="J145" s="9" t="s">
        <v>683</v>
      </c>
      <c r="K145" s="9" t="s">
        <v>132</v>
      </c>
      <c r="L145" s="9" t="s">
        <v>443</v>
      </c>
      <c r="M145" s="9" t="s">
        <v>586</v>
      </c>
      <c r="N145" s="9" t="s">
        <v>338</v>
      </c>
      <c r="O145" s="9" t="s">
        <v>657</v>
      </c>
      <c r="P145" s="9" t="s">
        <v>304</v>
      </c>
      <c r="Q145" s="9" t="s">
        <v>448</v>
      </c>
      <c r="R145" s="9" t="s">
        <v>387</v>
      </c>
      <c r="T145" s="9" t="s">
        <v>514</v>
      </c>
      <c r="U145" s="9" t="s">
        <v>573</v>
      </c>
      <c r="V145" s="9" t="s">
        <v>324</v>
      </c>
      <c r="W145" s="9">
        <v>67.0</v>
      </c>
    </row>
    <row r="146">
      <c r="A146" s="9">
        <v>202.0</v>
      </c>
      <c r="B146" s="9" t="s">
        <v>684</v>
      </c>
      <c r="C146" s="9" t="s">
        <v>281</v>
      </c>
      <c r="D146" s="9">
        <v>38.0</v>
      </c>
      <c r="E146" s="9">
        <v>1.0</v>
      </c>
      <c r="F146" s="9" t="s">
        <v>271</v>
      </c>
      <c r="G146" s="9" t="s">
        <v>269</v>
      </c>
      <c r="H146" s="9" t="s">
        <v>270</v>
      </c>
      <c r="I146" s="9" t="s">
        <v>269</v>
      </c>
      <c r="J146" s="9" t="s">
        <v>685</v>
      </c>
      <c r="K146" s="9" t="s">
        <v>273</v>
      </c>
      <c r="L146" s="9" t="s">
        <v>686</v>
      </c>
      <c r="M146" s="9" t="s">
        <v>277</v>
      </c>
      <c r="N146" s="9" t="s">
        <v>331</v>
      </c>
      <c r="O146" s="9" t="s">
        <v>687</v>
      </c>
      <c r="P146" s="9" t="s">
        <v>304</v>
      </c>
      <c r="Q146" s="9" t="s">
        <v>688</v>
      </c>
      <c r="R146" s="9" t="s">
        <v>564</v>
      </c>
      <c r="T146" s="9" t="s">
        <v>599</v>
      </c>
      <c r="U146" s="9" t="s">
        <v>389</v>
      </c>
      <c r="V146" s="9" t="s">
        <v>286</v>
      </c>
      <c r="W146" s="9">
        <v>134.0</v>
      </c>
    </row>
    <row r="147">
      <c r="A147" s="9">
        <v>169.0</v>
      </c>
      <c r="B147" s="9" t="s">
        <v>689</v>
      </c>
      <c r="C147" s="9" t="s">
        <v>386</v>
      </c>
      <c r="D147" s="9">
        <v>39.0</v>
      </c>
      <c r="E147" s="9">
        <v>1.0</v>
      </c>
      <c r="F147" s="9" t="s">
        <v>269</v>
      </c>
      <c r="G147" s="9" t="s">
        <v>269</v>
      </c>
      <c r="H147" s="9" t="s">
        <v>282</v>
      </c>
      <c r="I147" s="9" t="s">
        <v>271</v>
      </c>
      <c r="J147" s="9" t="s">
        <v>368</v>
      </c>
      <c r="K147" s="9" t="s">
        <v>132</v>
      </c>
      <c r="L147" s="9" t="s">
        <v>690</v>
      </c>
      <c r="M147" s="9" t="s">
        <v>525</v>
      </c>
      <c r="N147" s="9" t="s">
        <v>338</v>
      </c>
      <c r="O147" s="9" t="s">
        <v>522</v>
      </c>
      <c r="P147" s="9" t="s">
        <v>276</v>
      </c>
      <c r="Q147" s="9" t="s">
        <v>436</v>
      </c>
      <c r="R147" s="9" t="s">
        <v>396</v>
      </c>
      <c r="T147" s="9" t="s">
        <v>691</v>
      </c>
      <c r="U147" s="9" t="s">
        <v>692</v>
      </c>
      <c r="V147" s="9" t="s">
        <v>308</v>
      </c>
      <c r="W147" s="9">
        <v>100.0</v>
      </c>
    </row>
    <row r="148">
      <c r="A148" s="9">
        <v>227.0</v>
      </c>
      <c r="B148" s="9" t="s">
        <v>693</v>
      </c>
      <c r="C148" s="9" t="s">
        <v>294</v>
      </c>
      <c r="D148" s="9">
        <v>39.0</v>
      </c>
      <c r="E148" s="9">
        <v>1.0</v>
      </c>
      <c r="F148" s="9" t="s">
        <v>271</v>
      </c>
      <c r="G148" s="9" t="s">
        <v>269</v>
      </c>
      <c r="H148" s="9" t="s">
        <v>270</v>
      </c>
      <c r="I148" s="9" t="s">
        <v>271</v>
      </c>
      <c r="J148" s="9" t="s">
        <v>132</v>
      </c>
      <c r="K148" s="9" t="s">
        <v>694</v>
      </c>
      <c r="L148" s="9" t="s">
        <v>695</v>
      </c>
      <c r="M148" s="9" t="s">
        <v>522</v>
      </c>
      <c r="N148" s="9" t="s">
        <v>553</v>
      </c>
      <c r="O148" s="9" t="s">
        <v>286</v>
      </c>
      <c r="P148" s="9" t="s">
        <v>324</v>
      </c>
      <c r="Q148" s="9" t="s">
        <v>502</v>
      </c>
      <c r="R148" s="9" t="s">
        <v>286</v>
      </c>
      <c r="T148" s="9" t="s">
        <v>696</v>
      </c>
      <c r="U148" s="9" t="s">
        <v>697</v>
      </c>
      <c r="V148" s="9" t="s">
        <v>297</v>
      </c>
      <c r="W148" s="9">
        <v>10.0</v>
      </c>
    </row>
    <row r="149">
      <c r="B149" s="9" t="s">
        <v>698</v>
      </c>
      <c r="C149" s="9" t="s">
        <v>288</v>
      </c>
      <c r="D149" s="9">
        <v>40.0</v>
      </c>
      <c r="E149" s="9">
        <v>2.0</v>
      </c>
      <c r="F149" s="9" t="s">
        <v>269</v>
      </c>
      <c r="G149" s="9" t="s">
        <v>271</v>
      </c>
      <c r="J149" s="9" t="s">
        <v>132</v>
      </c>
      <c r="K149" s="9" t="s">
        <v>510</v>
      </c>
    </row>
    <row r="150">
      <c r="B150" s="9" t="s">
        <v>699</v>
      </c>
      <c r="C150" s="9" t="s">
        <v>386</v>
      </c>
      <c r="D150" s="9">
        <v>50.0</v>
      </c>
      <c r="J150" s="9" t="s">
        <v>700</v>
      </c>
    </row>
    <row r="151">
      <c r="B151" s="9" t="s">
        <v>701</v>
      </c>
      <c r="C151" s="9" t="s">
        <v>333</v>
      </c>
      <c r="D151" s="9">
        <v>50.0</v>
      </c>
      <c r="F151" s="9" t="s">
        <v>271</v>
      </c>
      <c r="H151" s="9" t="s">
        <v>289</v>
      </c>
      <c r="I151" s="9" t="s">
        <v>271</v>
      </c>
      <c r="J151" s="9" t="s">
        <v>700</v>
      </c>
    </row>
    <row r="152">
      <c r="B152" s="9" t="s">
        <v>702</v>
      </c>
      <c r="C152" s="9" t="s">
        <v>333</v>
      </c>
      <c r="D152" s="9">
        <v>50.0</v>
      </c>
      <c r="H152" s="9" t="s">
        <v>270</v>
      </c>
      <c r="J152" s="9" t="s">
        <v>700</v>
      </c>
    </row>
    <row r="153">
      <c r="B153" s="9" t="s">
        <v>703</v>
      </c>
      <c r="C153" s="9" t="s">
        <v>294</v>
      </c>
      <c r="D153" s="9">
        <v>50.0</v>
      </c>
      <c r="G153" s="9" t="s">
        <v>271</v>
      </c>
      <c r="I153" s="9" t="s">
        <v>271</v>
      </c>
      <c r="J153" s="9" t="s">
        <v>700</v>
      </c>
    </row>
    <row r="154">
      <c r="B154" s="9" t="s">
        <v>704</v>
      </c>
      <c r="C154" s="9" t="s">
        <v>268</v>
      </c>
      <c r="D154" s="9" t="s">
        <v>7</v>
      </c>
      <c r="E154" s="9">
        <v>1.0</v>
      </c>
      <c r="G154" s="9" t="s">
        <v>269</v>
      </c>
      <c r="H154" s="9" t="s">
        <v>270</v>
      </c>
      <c r="I154" s="9" t="s">
        <v>271</v>
      </c>
      <c r="J154" s="9" t="s">
        <v>402</v>
      </c>
      <c r="K154" s="9" t="s">
        <v>132</v>
      </c>
      <c r="L154" s="9" t="s">
        <v>705</v>
      </c>
      <c r="M154" s="9" t="s">
        <v>706</v>
      </c>
      <c r="N154" s="9" t="s">
        <v>707</v>
      </c>
      <c r="O154" s="9" t="s">
        <v>708</v>
      </c>
      <c r="P154" s="9" t="s">
        <v>709</v>
      </c>
      <c r="Q154" s="9" t="s">
        <v>709</v>
      </c>
      <c r="R154" s="9" t="s">
        <v>710</v>
      </c>
      <c r="T154" s="9" t="s">
        <v>711</v>
      </c>
      <c r="U154" s="9" t="s">
        <v>712</v>
      </c>
      <c r="V154" s="9" t="s">
        <v>713</v>
      </c>
      <c r="W154" s="9">
        <v>1.0</v>
      </c>
    </row>
    <row r="155">
      <c r="B155" s="9" t="s">
        <v>714</v>
      </c>
      <c r="C155" s="9" t="s">
        <v>386</v>
      </c>
      <c r="D155" s="9" t="s">
        <v>7</v>
      </c>
      <c r="E155" s="9">
        <v>1.0</v>
      </c>
      <c r="F155" s="9" t="s">
        <v>269</v>
      </c>
      <c r="G155" s="9" t="s">
        <v>269</v>
      </c>
      <c r="H155" s="9" t="s">
        <v>289</v>
      </c>
      <c r="I155" s="9" t="s">
        <v>269</v>
      </c>
      <c r="J155" s="9" t="s">
        <v>521</v>
      </c>
      <c r="K155" s="9" t="s">
        <v>715</v>
      </c>
    </row>
    <row r="156">
      <c r="B156" s="9" t="s">
        <v>716</v>
      </c>
      <c r="C156" s="9" t="s">
        <v>281</v>
      </c>
      <c r="D156" s="9" t="s">
        <v>7</v>
      </c>
      <c r="F156" s="9" t="s">
        <v>269</v>
      </c>
    </row>
    <row r="157">
      <c r="A157" s="7" t="s">
        <v>717</v>
      </c>
      <c r="B157" s="7" t="s">
        <v>718</v>
      </c>
      <c r="C157" s="7" t="s">
        <v>719</v>
      </c>
      <c r="D157" s="7" t="s">
        <v>720</v>
      </c>
      <c r="E157" s="7" t="s">
        <v>721</v>
      </c>
      <c r="F157" s="7" t="s">
        <v>722</v>
      </c>
      <c r="G157" s="7" t="s">
        <v>723</v>
      </c>
      <c r="H157" s="7" t="s">
        <v>724</v>
      </c>
      <c r="I157" s="7" t="s">
        <v>725</v>
      </c>
      <c r="J157" s="7" t="s">
        <v>726</v>
      </c>
      <c r="K157" s="7" t="s">
        <v>727</v>
      </c>
      <c r="L157" s="7" t="s">
        <v>728</v>
      </c>
      <c r="M157" s="7" t="s">
        <v>729</v>
      </c>
      <c r="N157" s="7" t="s">
        <v>730</v>
      </c>
      <c r="O157" s="7" t="s">
        <v>731</v>
      </c>
      <c r="P157" s="7" t="s">
        <v>732</v>
      </c>
      <c r="Q157" s="7" t="s">
        <v>733</v>
      </c>
      <c r="R157" s="7" t="s">
        <v>734</v>
      </c>
      <c r="S157" s="7" t="s">
        <v>735</v>
      </c>
      <c r="T157" s="7" t="s">
        <v>736</v>
      </c>
      <c r="U157" s="7" t="s">
        <v>737</v>
      </c>
      <c r="V157" s="7" t="s">
        <v>738</v>
      </c>
      <c r="W157" s="7" t="s">
        <v>739</v>
      </c>
    </row>
    <row r="158">
      <c r="A158" s="9">
        <v>108.0</v>
      </c>
      <c r="B158" s="9" t="s">
        <v>740</v>
      </c>
      <c r="C158" s="9" t="s">
        <v>333</v>
      </c>
      <c r="D158" s="9" t="s">
        <v>741</v>
      </c>
      <c r="E158" s="9">
        <v>1.0</v>
      </c>
      <c r="F158" s="9" t="s">
        <v>269</v>
      </c>
      <c r="G158" s="9" t="s">
        <v>269</v>
      </c>
      <c r="H158" s="9" t="s">
        <v>289</v>
      </c>
      <c r="I158" s="9" t="s">
        <v>742</v>
      </c>
      <c r="J158" s="9" t="s">
        <v>743</v>
      </c>
      <c r="K158" s="9" t="s">
        <v>744</v>
      </c>
      <c r="L158" s="9" t="s">
        <v>745</v>
      </c>
      <c r="M158" s="9" t="s">
        <v>338</v>
      </c>
      <c r="N158" s="9" t="s">
        <v>396</v>
      </c>
      <c r="O158" s="9" t="s">
        <v>746</v>
      </c>
      <c r="P158" s="9" t="s">
        <v>285</v>
      </c>
      <c r="Q158" s="9" t="s">
        <v>448</v>
      </c>
      <c r="R158" s="9" t="s">
        <v>586</v>
      </c>
      <c r="T158" s="9" t="s">
        <v>747</v>
      </c>
      <c r="U158" s="9" t="s">
        <v>748</v>
      </c>
      <c r="V158" s="9" t="s">
        <v>305</v>
      </c>
      <c r="W158" s="9">
        <v>107.0</v>
      </c>
    </row>
    <row r="159">
      <c r="B159" s="9" t="s">
        <v>749</v>
      </c>
      <c r="C159" s="9" t="s">
        <v>288</v>
      </c>
    </row>
    <row r="160">
      <c r="B160" s="9" t="s">
        <v>750</v>
      </c>
    </row>
    <row r="161">
      <c r="B161" s="9" t="s">
        <v>751</v>
      </c>
    </row>
    <row r="162">
      <c r="B162" s="9" t="s">
        <v>752</v>
      </c>
    </row>
    <row r="163">
      <c r="B163" s="9" t="s">
        <v>753</v>
      </c>
      <c r="J163" s="9" t="s">
        <v>754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34" width="17.29"/>
  </cols>
  <sheetData>
    <row r="1">
      <c r="A1" s="10" t="str">
        <f>IFERROR(__xludf.DUMMYFUNCTION("ImportHtml(""http://mountypedia.mountyhall.com/Mountyhall/ListeMonstres"", ""table"", 1)"),"*Id*")</f>
        <v>*Id*</v>
      </c>
      <c r="B1" s="10" t="str">
        <f>IFERROR(__xludf.DUMMYFUNCTION("""COMPUTED_VALUE"""),"*Nom*")</f>
        <v>*Nom*</v>
      </c>
      <c r="C1" s="10" t="str">
        <f>IFERROR(__xludf.DUMMYFUNCTION("""COMPUTED_VALUE"""),"*Famille*")</f>
        <v>*Famille*</v>
      </c>
      <c r="D1" s="10" t="str">
        <f>IFERROR(__xludf.DUMMYFUNCTION("""COMPUTED_VALUE"""),"*Niv*")</f>
        <v>*Niv*</v>
      </c>
      <c r="E1" s="10" t="str">
        <f>IFERROR(__xludf.DUMMYFUNCTION("""COMPUTED_VALUE"""),"*Nb att*")</f>
        <v>*Nb att*</v>
      </c>
      <c r="F1" s="10" t="str">
        <f>IFERROR(__xludf.DUMMYFUNCTION("""COMPUTED_VALUE"""),"*Att mag*")</f>
        <v>*Att mag*</v>
      </c>
      <c r="G1" s="10" t="str">
        <f>IFERROR(__xludf.DUMMYFUNCTION("""COMPUTED_VALUE"""),"*Att dist*")</f>
        <v>*Att dist*</v>
      </c>
      <c r="H1" s="10" t="str">
        <f>IFERROR(__xludf.DUMMYFUNCTION("""COMPUTED_VALUE"""),"*Vit*")</f>
        <v>*Vit*</v>
      </c>
      <c r="I1" s="10" t="str">
        <f>IFERROR(__xludf.DUMMYFUNCTION("""COMPUTED_VALUE"""),"*VlC*")</f>
        <v>*VlC*</v>
      </c>
      <c r="J1" s="10" t="str">
        <f>IFERROR(__xludf.DUMMYFUNCTION("""COMPUTED_VALUE"""),"*Pouvoir 1*")</f>
        <v>*Pouvoir 1*</v>
      </c>
      <c r="K1" s="10" t="str">
        <f>IFERROR(__xludf.DUMMYFUNCTION("""COMPUTED_VALUE"""),"*Pouvoir 2*")</f>
        <v>*Pouvoir 2*</v>
      </c>
      <c r="L1" s="10" t="str">
        <f>IFERROR(__xludf.DUMMYFUNCTION("""COMPUTED_VALUE"""),"*PV*")</f>
        <v>*PV*</v>
      </c>
      <c r="M1" s="10" t="str">
        <f>IFERROR(__xludf.DUMMYFUNCTION("""COMPUTED_VALUE"""),"*Att*")</f>
        <v>*Att*</v>
      </c>
      <c r="N1" s="10" t="str">
        <f>IFERROR(__xludf.DUMMYFUNCTION("""COMPUTED_VALUE"""),"*Esq*")</f>
        <v>*Esq*</v>
      </c>
      <c r="O1" s="10" t="str">
        <f>IFERROR(__xludf.DUMMYFUNCTION("""COMPUTED_VALUE"""),"*Dégât*")</f>
        <v>*Dégât*</v>
      </c>
      <c r="P1" s="10" t="str">
        <f>IFERROR(__xludf.DUMMYFUNCTION("""COMPUTED_VALUE"""),"*Vue*")</f>
        <v>*Vue*</v>
      </c>
      <c r="Q1" s="10" t="str">
        <f>IFERROR(__xludf.DUMMYFUNCTION("""COMPUTED_VALUE"""),"*Régen*")</f>
        <v>*Régen*</v>
      </c>
      <c r="R1" s="10" t="str">
        <f>IFERROR(__xludf.DUMMYFUNCTION("""COMPUTED_VALUE"""),"*Arm phy*")</f>
        <v>*Arm phy*</v>
      </c>
      <c r="S1" s="10" t="str">
        <f>IFERROR(__xludf.DUMMYFUNCTION("""COMPUTED_VALUE"""),"*Arm mag*")</f>
        <v>*Arm mag*</v>
      </c>
      <c r="T1" s="10" t="str">
        <f>IFERROR(__xludf.DUMMYFUNCTION("""COMPUTED_VALUE"""),"*MM*")</f>
        <v>*MM*</v>
      </c>
      <c r="U1" s="10" t="str">
        <f>IFERROR(__xludf.DUMMYFUNCTION("""COMPUTED_VALUE"""),"*RM*")</f>
        <v>*RM*</v>
      </c>
      <c r="V1" s="10" t="str">
        <f>IFERROR(__xludf.DUMMYFUNCTION("""COMPUTED_VALUE"""),"*DLA*")</f>
        <v>*DLA*</v>
      </c>
      <c r="W1" s="10" t="str">
        <f>IFERROR(__xludf.DUMMYFUNCTION("""COMPUTED_VALUE"""),"*Echant*")</f>
        <v>*Echant*</v>
      </c>
      <c r="X1" s="10" t="str">
        <f>IFERROR(__xludf.DUMMYFUNCTION("""COMPUTED_VALUE"""),"*Vole*")</f>
        <v>*Vole*</v>
      </c>
      <c r="Y1" s="10"/>
      <c r="Z1" s="10"/>
      <c r="AA1" s="10"/>
      <c r="AB1" s="10"/>
      <c r="AC1" s="10"/>
      <c r="AD1" s="10"/>
      <c r="AE1" s="10"/>
      <c r="AF1" s="10"/>
      <c r="AG1" s="10"/>
      <c r="AH1" s="10"/>
    </row>
    <row r="2">
      <c r="A2" s="10">
        <f>IFERROR(__xludf.DUMMYFUNCTION("""COMPUTED_VALUE"""),161.0)</f>
        <v>161</v>
      </c>
      <c r="B2" s="10" t="str">
        <f>IFERROR(__xludf.DUMMYFUNCTION("""COMPUTED_VALUE"""),"Abishaii Bleu")</f>
        <v>Abishaii Bleu</v>
      </c>
      <c r="C2" s="10" t="str">
        <f>IFERROR(__xludf.DUMMYFUNCTION("""COMPUTED_VALUE"""),"Démon")</f>
        <v>Démon</v>
      </c>
      <c r="D2" s="10">
        <f>IFERROR(__xludf.DUMMYFUNCTION("""COMPUTED_VALUE"""),19.0)</f>
        <v>19</v>
      </c>
      <c r="E2" s="10">
        <f>IFERROR(__xludf.DUMMYFUNCTION("""COMPUTED_VALUE"""),1.0)</f>
        <v>1</v>
      </c>
      <c r="F2" s="10" t="str">
        <f>IFERROR(__xludf.DUMMYFUNCTION("""COMPUTED_VALUE"""),"Non")</f>
        <v>Non</v>
      </c>
      <c r="G2" s="10" t="str">
        <f>IFERROR(__xludf.DUMMYFUNCTION("""COMPUTED_VALUE"""),"Non")</f>
        <v>Non</v>
      </c>
      <c r="H2" s="10" t="str">
        <f>IFERROR(__xludf.DUMMYFUNCTION("""COMPUTED_VALUE"""),"Rapide")</f>
        <v>Rapide</v>
      </c>
      <c r="I2" s="10" t="str">
        <f>IFERROR(__xludf.DUMMYFUNCTION("""COMPUTED_VALUE"""),"Oui")</f>
        <v>Oui</v>
      </c>
      <c r="J2" s="10" t="str">
        <f>IFERROR(__xludf.DUMMYFUNCTION("""COMPUTED_VALUE"""),"Venin - Toucher")</f>
        <v>Venin - Toucher</v>
      </c>
      <c r="K2" s="10" t="str">
        <f>IFERROR(__xludf.DUMMYFUNCTION("""COMPUTED_VALUE"""),"Mort : Duplication (2)")</f>
        <v>Mort : Duplication (2)</v>
      </c>
      <c r="L2" s="10" t="str">
        <f>IFERROR(__xludf.DUMMYFUNCTION("""COMPUTED_VALUE"""),"100 ±35")</f>
        <v>100 ±35</v>
      </c>
      <c r="M2" s="10" t="str">
        <f>IFERROR(__xludf.DUMMYFUNCTION("""COMPUTED_VALUE"""),"8 ±3")</f>
        <v>8 ±3</v>
      </c>
      <c r="N2" s="10" t="str">
        <f>IFERROR(__xludf.DUMMYFUNCTION("""COMPUTED_VALUE"""),"8 ±3")</f>
        <v>8 ±3</v>
      </c>
      <c r="O2" s="10" t="str">
        <f>IFERROR(__xludf.DUMMYFUNCTION("""COMPUTED_VALUE"""),"7 ±3")</f>
        <v>7 ±3</v>
      </c>
      <c r="P2" s="10" t="str">
        <f>IFERROR(__xludf.DUMMYFUNCTION("""COMPUTED_VALUE"""),"5 ±3")</f>
        <v>5 ±3</v>
      </c>
      <c r="Q2" s="10" t="str">
        <f>IFERROR(__xludf.DUMMYFUNCTION("""COMPUTED_VALUE"""),"3 ±1")</f>
        <v>3 ±1</v>
      </c>
      <c r="R2" s="10" t="str">
        <f>IFERROR(__xludf.DUMMYFUNCTION("""COMPUTED_VALUE"""),"10 ±3")</f>
        <v>10 ±3</v>
      </c>
      <c r="S2" s="10">
        <f>IFERROR(__xludf.DUMMYFUNCTION("""COMPUTED_VALUE"""),8.0)</f>
        <v>8</v>
      </c>
      <c r="T2" s="10" t="str">
        <f>IFERROR(__xludf.DUMMYFUNCTION("""COMPUTED_VALUE"""),"3200 ±800")</f>
        <v>3200 ±800</v>
      </c>
      <c r="U2" s="10" t="str">
        <f>IFERROR(__xludf.DUMMYFUNCTION("""COMPUTED_VALUE"""),"700 ±300")</f>
        <v>700 ±300</v>
      </c>
      <c r="V2" s="10" t="str">
        <f>IFERROR(__xludf.DUMMYFUNCTION("""COMPUTED_VALUE"""),"7 ±3")</f>
        <v>7 ±3</v>
      </c>
      <c r="W2" s="10">
        <f>IFERROR(__xludf.DUMMYFUNCTION("""COMPUTED_VALUE"""),279.0)</f>
        <v>279</v>
      </c>
      <c r="X2" s="10" t="str">
        <f>IFERROR(__xludf.DUMMYFUNCTION("""COMPUTED_VALUE"""),"Non")</f>
        <v>Non</v>
      </c>
      <c r="Y2" s="10"/>
      <c r="Z2" s="10"/>
      <c r="AA2" s="10"/>
      <c r="AB2" s="10"/>
      <c r="AC2" s="10"/>
      <c r="AD2" s="10"/>
      <c r="AE2" s="10"/>
      <c r="AF2" s="10"/>
      <c r="AG2" s="10"/>
      <c r="AH2" s="10"/>
    </row>
    <row r="3">
      <c r="A3" s="10">
        <f>IFERROR(__xludf.DUMMYFUNCTION("""COMPUTED_VALUE"""),94.0)</f>
        <v>94</v>
      </c>
      <c r="B3" s="10" t="str">
        <f>IFERROR(__xludf.DUMMYFUNCTION("""COMPUTED_VALUE"""),"Abishaii noir")</f>
        <v>Abishaii noir</v>
      </c>
      <c r="C3" s="10" t="str">
        <f>IFERROR(__xludf.DUMMYFUNCTION("""COMPUTED_VALUE"""),"Démon")</f>
        <v>Démon</v>
      </c>
      <c r="D3" s="10">
        <f>IFERROR(__xludf.DUMMYFUNCTION("""COMPUTED_VALUE"""),10.0)</f>
        <v>10</v>
      </c>
      <c r="E3" s="10">
        <f>IFERROR(__xludf.DUMMYFUNCTION("""COMPUTED_VALUE"""),1.0)</f>
        <v>1</v>
      </c>
      <c r="F3" s="10" t="str">
        <f>IFERROR(__xludf.DUMMYFUNCTION("""COMPUTED_VALUE"""),"Non")</f>
        <v>Non</v>
      </c>
      <c r="G3" s="10" t="str">
        <f>IFERROR(__xludf.DUMMYFUNCTION("""COMPUTED_VALUE"""),"Non")</f>
        <v>Non</v>
      </c>
      <c r="H3" s="10" t="str">
        <f>IFERROR(__xludf.DUMMYFUNCTION("""COMPUTED_VALUE"""),"Normale")</f>
        <v>Normale</v>
      </c>
      <c r="I3" s="10" t="str">
        <f>IFERROR(__xludf.DUMMYFUNCTION("""COMPUTED_VALUE"""),"Oui")</f>
        <v>Oui</v>
      </c>
      <c r="J3" s="10" t="str">
        <f>IFERROR(__xludf.DUMMYFUNCTION("""COMPUTED_VALUE"""),"Venin - Toucher")</f>
        <v>Venin - Toucher</v>
      </c>
      <c r="K3" s="10" t="str">
        <f>IFERROR(__xludf.DUMMYFUNCTION("""COMPUTED_VALUE"""),"-")</f>
        <v>-</v>
      </c>
      <c r="L3" s="10" t="str">
        <f>IFERROR(__xludf.DUMMYFUNCTION("""COMPUTED_VALUE"""),"40 ±30")</f>
        <v>40 ±30</v>
      </c>
      <c r="M3" s="10" t="str">
        <f>IFERROR(__xludf.DUMMYFUNCTION("""COMPUTED_VALUE"""),"4 ±2")</f>
        <v>4 ±2</v>
      </c>
      <c r="N3" s="10" t="str">
        <f>IFERROR(__xludf.DUMMYFUNCTION("""COMPUTED_VALUE"""),"5 ±3")</f>
        <v>5 ±3</v>
      </c>
      <c r="O3" s="10" t="str">
        <f>IFERROR(__xludf.DUMMYFUNCTION("""COMPUTED_VALUE"""),"4 ±3")</f>
        <v>4 ±3</v>
      </c>
      <c r="P3" s="10" t="str">
        <f>IFERROR(__xludf.DUMMYFUNCTION("""COMPUTED_VALUE"""),"5 ±3")</f>
        <v>5 ±3</v>
      </c>
      <c r="Q3" s="10" t="str">
        <f>IFERROR(__xludf.DUMMYFUNCTION("""COMPUTED_VALUE"""),"2 ±1")</f>
        <v>2 ±1</v>
      </c>
      <c r="R3" s="10" t="str">
        <f>IFERROR(__xludf.DUMMYFUNCTION("""COMPUTED_VALUE"""),"8 ±3")</f>
        <v>8 ±3</v>
      </c>
      <c r="S3" s="10">
        <f>IFERROR(__xludf.DUMMYFUNCTION("""COMPUTED_VALUE"""),7.0)</f>
        <v>7</v>
      </c>
      <c r="T3" s="10" t="str">
        <f>IFERROR(__xludf.DUMMYFUNCTION("""COMPUTED_VALUE"""),"300 ±300")</f>
        <v>300 ±300</v>
      </c>
      <c r="U3" s="10" t="str">
        <f>IFERROR(__xludf.DUMMYFUNCTION("""COMPUTED_VALUE"""),"1000 ±400")</f>
        <v>1000 ±400</v>
      </c>
      <c r="V3" s="10" t="str">
        <f>IFERROR(__xludf.DUMMYFUNCTION("""COMPUTED_VALUE"""),"8 ±3")</f>
        <v>8 ±3</v>
      </c>
      <c r="W3" s="10">
        <f>IFERROR(__xludf.DUMMYFUNCTION("""COMPUTED_VALUE"""),50.0)</f>
        <v>50</v>
      </c>
      <c r="X3" s="10" t="str">
        <f>IFERROR(__xludf.DUMMYFUNCTION("""COMPUTED_VALUE"""),"Non")</f>
        <v>Non</v>
      </c>
      <c r="Y3" s="10"/>
      <c r="Z3" s="10"/>
      <c r="AA3" s="10"/>
      <c r="AB3" s="10"/>
      <c r="AC3" s="10"/>
      <c r="AD3" s="10"/>
      <c r="AE3" s="10"/>
      <c r="AF3" s="10"/>
      <c r="AG3" s="10"/>
      <c r="AH3" s="10"/>
    </row>
    <row r="4">
      <c r="A4" s="10">
        <f>IFERROR(__xludf.DUMMYFUNCTION("""COMPUTED_VALUE"""),96.0)</f>
        <v>96</v>
      </c>
      <c r="B4" s="10" t="str">
        <f>IFERROR(__xludf.DUMMYFUNCTION("""COMPUTED_VALUE"""),"Abishaii rouge")</f>
        <v>Abishaii rouge</v>
      </c>
      <c r="C4" s="10" t="str">
        <f>IFERROR(__xludf.DUMMYFUNCTION("""COMPUTED_VALUE"""),"Démon")</f>
        <v>Démon</v>
      </c>
      <c r="D4" s="10">
        <f>IFERROR(__xludf.DUMMYFUNCTION("""COMPUTED_VALUE"""),23.0)</f>
        <v>23</v>
      </c>
      <c r="E4" s="10">
        <f>IFERROR(__xludf.DUMMYFUNCTION("""COMPUTED_VALUE"""),1.0)</f>
        <v>1</v>
      </c>
      <c r="F4" s="10" t="str">
        <f>IFERROR(__xludf.DUMMYFUNCTION("""COMPUTED_VALUE"""),"Non")</f>
        <v>Non</v>
      </c>
      <c r="G4" s="10" t="str">
        <f>IFERROR(__xludf.DUMMYFUNCTION("""COMPUTED_VALUE"""),"Non")</f>
        <v>Non</v>
      </c>
      <c r="H4" s="10" t="str">
        <f>IFERROR(__xludf.DUMMYFUNCTION("""COMPUTED_VALUE"""),"Rapide")</f>
        <v>Rapide</v>
      </c>
      <c r="I4" s="10" t="str">
        <f>IFERROR(__xludf.DUMMYFUNCTION("""COMPUTED_VALUE"""),"Oui")</f>
        <v>Oui</v>
      </c>
      <c r="J4" s="10" t="str">
        <f>IFERROR(__xludf.DUMMYFUNCTION("""COMPUTED_VALUE"""),"Venin - Toucher")</f>
        <v>Venin - Toucher</v>
      </c>
      <c r="K4" s="10" t="str">
        <f>IFERROR(__xludf.DUMMYFUNCTION("""COMPUTED_VALUE"""),"Lévitation")</f>
        <v>Lévitation</v>
      </c>
      <c r="L4" s="10" t="str">
        <f>IFERROR(__xludf.DUMMYFUNCTION("""COMPUTED_VALUE"""),"110 ±35")</f>
        <v>110 ±35</v>
      </c>
      <c r="M4" s="10" t="str">
        <f>IFERROR(__xludf.DUMMYFUNCTION("""COMPUTED_VALUE"""),"10 ±3")</f>
        <v>10 ±3</v>
      </c>
      <c r="N4" s="10" t="str">
        <f>IFERROR(__xludf.DUMMYFUNCTION("""COMPUTED_VALUE"""),"9 ±3")</f>
        <v>9 ±3</v>
      </c>
      <c r="O4" s="10" t="str">
        <f>IFERROR(__xludf.DUMMYFUNCTION("""COMPUTED_VALUE"""),"6 ±3")</f>
        <v>6 ±3</v>
      </c>
      <c r="P4" s="10" t="str">
        <f>IFERROR(__xludf.DUMMYFUNCTION("""COMPUTED_VALUE"""),"5 ±3")</f>
        <v>5 ±3</v>
      </c>
      <c r="Q4" s="10" t="str">
        <f>IFERROR(__xludf.DUMMYFUNCTION("""COMPUTED_VALUE"""),"4 ±1")</f>
        <v>4 ±1</v>
      </c>
      <c r="R4" s="10" t="str">
        <f>IFERROR(__xludf.DUMMYFUNCTION("""COMPUTED_VALUE"""),"11 ±3")</f>
        <v>11 ±3</v>
      </c>
      <c r="S4" s="10">
        <f>IFERROR(__xludf.DUMMYFUNCTION("""COMPUTED_VALUE"""),11.0)</f>
        <v>11</v>
      </c>
      <c r="T4" s="10" t="str">
        <f>IFERROR(__xludf.DUMMYFUNCTION("""COMPUTED_VALUE"""),"1300 ±400")</f>
        <v>1300 ±400</v>
      </c>
      <c r="U4" s="10" t="str">
        <f>IFERROR(__xludf.DUMMYFUNCTION("""COMPUTED_VALUE"""),"3000 ±800")</f>
        <v>3000 ±800</v>
      </c>
      <c r="V4" s="10" t="str">
        <f>IFERROR(__xludf.DUMMYFUNCTION("""COMPUTED_VALUE"""),"7 ±3")</f>
        <v>7 ±3</v>
      </c>
      <c r="W4" s="10">
        <f>IFERROR(__xludf.DUMMYFUNCTION("""COMPUTED_VALUE"""),193.0)</f>
        <v>193</v>
      </c>
      <c r="X4" s="10" t="str">
        <f>IFERROR(__xludf.DUMMYFUNCTION("""COMPUTED_VALUE"""),"Oui")</f>
        <v>Oui</v>
      </c>
      <c r="Y4" s="10"/>
      <c r="Z4" s="10"/>
      <c r="AA4" s="10"/>
      <c r="AB4" s="10"/>
      <c r="AC4" s="10"/>
      <c r="AD4" s="10"/>
      <c r="AE4" s="10"/>
      <c r="AF4" s="10"/>
      <c r="AG4" s="10"/>
      <c r="AH4" s="10"/>
    </row>
    <row r="5">
      <c r="A5" s="10">
        <f>IFERROR(__xludf.DUMMYFUNCTION("""COMPUTED_VALUE"""),95.0)</f>
        <v>95</v>
      </c>
      <c r="B5" s="10" t="str">
        <f>IFERROR(__xludf.DUMMYFUNCTION("""COMPUTED_VALUE"""),"Abishaii vert")</f>
        <v>Abishaii vert</v>
      </c>
      <c r="C5" s="10" t="str">
        <f>IFERROR(__xludf.DUMMYFUNCTION("""COMPUTED_VALUE"""),"Démon")</f>
        <v>Démon</v>
      </c>
      <c r="D5" s="10">
        <f>IFERROR(__xludf.DUMMYFUNCTION("""COMPUTED_VALUE"""),15.0)</f>
        <v>15</v>
      </c>
      <c r="E5" s="10">
        <f>IFERROR(__xludf.DUMMYFUNCTION("""COMPUTED_VALUE"""),1.0)</f>
        <v>1</v>
      </c>
      <c r="F5" s="10" t="str">
        <f>IFERROR(__xludf.DUMMYFUNCTION("""COMPUTED_VALUE"""),"Non")</f>
        <v>Non</v>
      </c>
      <c r="G5" s="10" t="str">
        <f>IFERROR(__xludf.DUMMYFUNCTION("""COMPUTED_VALUE"""),"Non")</f>
        <v>Non</v>
      </c>
      <c r="H5" s="10" t="str">
        <f>IFERROR(__xludf.DUMMYFUNCTION("""COMPUTED_VALUE"""),"Rapide")</f>
        <v>Rapide</v>
      </c>
      <c r="I5" s="10" t="str">
        <f>IFERROR(__xludf.DUMMYFUNCTION("""COMPUTED_VALUE"""),"Oui")</f>
        <v>Oui</v>
      </c>
      <c r="J5" s="10" t="str">
        <f>IFERROR(__xludf.DUMMYFUNCTION("""COMPUTED_VALUE"""),"Venin - Toucher")</f>
        <v>Venin - Toucher</v>
      </c>
      <c r="K5" s="10" t="str">
        <f>IFERROR(__xludf.DUMMYFUNCTION("""COMPUTED_VALUE"""),"-")</f>
        <v>-</v>
      </c>
      <c r="L5" s="10" t="str">
        <f>IFERROR(__xludf.DUMMYFUNCTION("""COMPUTED_VALUE"""),"55 ±30")</f>
        <v>55 ±30</v>
      </c>
      <c r="M5" s="10" t="str">
        <f>IFERROR(__xludf.DUMMYFUNCTION("""COMPUTED_VALUE"""),"6 ±3")</f>
        <v>6 ±3</v>
      </c>
      <c r="N5" s="10" t="str">
        <f>IFERROR(__xludf.DUMMYFUNCTION("""COMPUTED_VALUE"""),"6 ±3")</f>
        <v>6 ±3</v>
      </c>
      <c r="O5" s="10" t="str">
        <f>IFERROR(__xludf.DUMMYFUNCTION("""COMPUTED_VALUE"""),"4 ±3")</f>
        <v>4 ±3</v>
      </c>
      <c r="P5" s="10" t="str">
        <f>IFERROR(__xludf.DUMMYFUNCTION("""COMPUTED_VALUE"""),"5 ±3")</f>
        <v>5 ±3</v>
      </c>
      <c r="Q5" s="10" t="str">
        <f>IFERROR(__xludf.DUMMYFUNCTION("""COMPUTED_VALUE"""),"3 ±1")</f>
        <v>3 ±1</v>
      </c>
      <c r="R5" s="10" t="str">
        <f>IFERROR(__xludf.DUMMYFUNCTION("""COMPUTED_VALUE"""),"11 ±3")</f>
        <v>11 ±3</v>
      </c>
      <c r="S5" s="10">
        <f>IFERROR(__xludf.DUMMYFUNCTION("""COMPUTED_VALUE"""),7.0)</f>
        <v>7</v>
      </c>
      <c r="T5" s="10" t="str">
        <f>IFERROR(__xludf.DUMMYFUNCTION("""COMPUTED_VALUE"""),"700 ±600")</f>
        <v>700 ±600</v>
      </c>
      <c r="U5" s="10" t="str">
        <f>IFERROR(__xludf.DUMMYFUNCTION("""COMPUTED_VALUE"""),"2000 ±800")</f>
        <v>2000 ±800</v>
      </c>
      <c r="V5" s="10" t="str">
        <f>IFERROR(__xludf.DUMMYFUNCTION("""COMPUTED_VALUE"""),"8 ±3")</f>
        <v>8 ±3</v>
      </c>
      <c r="W5" s="10">
        <f>IFERROR(__xludf.DUMMYFUNCTION("""COMPUTED_VALUE"""),98.0)</f>
        <v>98</v>
      </c>
      <c r="X5" s="10" t="str">
        <f>IFERROR(__xludf.DUMMYFUNCTION("""COMPUTED_VALUE"""),"Non")</f>
        <v>Non</v>
      </c>
      <c r="Y5" s="10"/>
      <c r="Z5" s="10"/>
      <c r="AA5" s="10"/>
      <c r="AB5" s="10"/>
      <c r="AC5" s="10"/>
      <c r="AD5" s="10"/>
      <c r="AE5" s="10"/>
      <c r="AF5" s="10"/>
      <c r="AG5" s="10"/>
      <c r="AH5" s="10"/>
    </row>
    <row r="6">
      <c r="A6" s="10">
        <f>IFERROR(__xludf.DUMMYFUNCTION("""COMPUTED_VALUE"""),103.0)</f>
        <v>103</v>
      </c>
      <c r="B6" s="10" t="str">
        <f>IFERROR(__xludf.DUMMYFUNCTION("""COMPUTED_VALUE"""),"Ame-en-peine")</f>
        <v>Ame-en-peine</v>
      </c>
      <c r="C6" s="10" t="str">
        <f>IFERROR(__xludf.DUMMYFUNCTION("""COMPUTED_VALUE"""),"Mort-Vivant")</f>
        <v>Mort-Vivant</v>
      </c>
      <c r="D6" s="10">
        <f>IFERROR(__xludf.DUMMYFUNCTION("""COMPUTED_VALUE"""),8.0)</f>
        <v>8</v>
      </c>
      <c r="E6" s="10">
        <f>IFERROR(__xludf.DUMMYFUNCTION("""COMPUTED_VALUE"""),1.0)</f>
        <v>1</v>
      </c>
      <c r="F6" s="10" t="str">
        <f>IFERROR(__xludf.DUMMYFUNCTION("""COMPUTED_VALUE"""),"Oui")</f>
        <v>Oui</v>
      </c>
      <c r="G6" s="10" t="str">
        <f>IFERROR(__xludf.DUMMYFUNCTION("""COMPUTED_VALUE"""),"Non")</f>
        <v>Non</v>
      </c>
      <c r="H6" s="10" t="str">
        <f>IFERROR(__xludf.DUMMYFUNCTION("""COMPUTED_VALUE"""),"Normale")</f>
        <v>Normale</v>
      </c>
      <c r="I6" s="10" t="str">
        <f>IFERROR(__xludf.DUMMYFUNCTION("""COMPUTED_VALUE"""),"Oui")</f>
        <v>Oui</v>
      </c>
      <c r="J6" s="10" t="str">
        <f>IFERROR(__xludf.DUMMYFUNCTION("""COMPUTED_VALUE"""),"Drain de vie - Auto")</f>
        <v>Drain de vie - Auto</v>
      </c>
      <c r="K6" s="10" t="str">
        <f>IFERROR(__xludf.DUMMYFUNCTION("""COMPUTED_VALUE"""),"Lévitation")</f>
        <v>Lévitation</v>
      </c>
      <c r="L6" s="10" t="str">
        <f>IFERROR(__xludf.DUMMYFUNCTION("""COMPUTED_VALUE"""),"60 ±30")</f>
        <v>60 ±30</v>
      </c>
      <c r="M6" s="10" t="str">
        <f>IFERROR(__xludf.DUMMYFUNCTION("""COMPUTED_VALUE"""),"5 ±3")</f>
        <v>5 ±3</v>
      </c>
      <c r="N6" s="10" t="str">
        <f>IFERROR(__xludf.DUMMYFUNCTION("""COMPUTED_VALUE"""),"6 ±3")</f>
        <v>6 ±3</v>
      </c>
      <c r="O6" s="10" t="str">
        <f>IFERROR(__xludf.DUMMYFUNCTION("""COMPUTED_VALUE"""),"3 ±2")</f>
        <v>3 ±2</v>
      </c>
      <c r="P6" s="10" t="str">
        <f>IFERROR(__xludf.DUMMYFUNCTION("""COMPUTED_VALUE"""),"4 ±3")</f>
        <v>4 ±3</v>
      </c>
      <c r="Q6" s="10" t="str">
        <f>IFERROR(__xludf.DUMMYFUNCTION("""COMPUTED_VALUE"""),"2 ±1")</f>
        <v>2 ±1</v>
      </c>
      <c r="R6" s="10" t="str">
        <f>IFERROR(__xludf.DUMMYFUNCTION("""COMPUTED_VALUE"""),"5 ±3")</f>
        <v>5 ±3</v>
      </c>
      <c r="S6" s="10">
        <f>IFERROR(__xludf.DUMMYFUNCTION("""COMPUTED_VALUE"""),6.0)</f>
        <v>6</v>
      </c>
      <c r="T6" s="10" t="str">
        <f>IFERROR(__xludf.DUMMYFUNCTION("""COMPUTED_VALUE"""),"300 ±200")</f>
        <v>300 ±200</v>
      </c>
      <c r="U6" s="10" t="str">
        <f>IFERROR(__xludf.DUMMYFUNCTION("""COMPUTED_VALUE"""),"200 ±200")</f>
        <v>200 ±200</v>
      </c>
      <c r="V6" s="10" t="str">
        <f>IFERROR(__xludf.DUMMYFUNCTION("""COMPUTED_VALUE"""),"10 ±3")</f>
        <v>10 ±3</v>
      </c>
      <c r="W6" s="10">
        <f>IFERROR(__xludf.DUMMYFUNCTION("""COMPUTED_VALUE"""),18.0)</f>
        <v>18</v>
      </c>
      <c r="X6" s="10" t="str">
        <f>IFERROR(__xludf.DUMMYFUNCTION("""COMPUTED_VALUE"""),"Oui")</f>
        <v>Oui</v>
      </c>
      <c r="Y6" s="10"/>
      <c r="Z6" s="10"/>
      <c r="AA6" s="10"/>
      <c r="AB6" s="10"/>
      <c r="AC6" s="10"/>
      <c r="AD6" s="10"/>
      <c r="AE6" s="10"/>
      <c r="AF6" s="10"/>
      <c r="AG6" s="10"/>
      <c r="AH6" s="10"/>
    </row>
    <row r="7">
      <c r="A7" s="10">
        <f>IFERROR(__xludf.DUMMYFUNCTION("""COMPUTED_VALUE"""),18.0)</f>
        <v>18</v>
      </c>
      <c r="B7" s="10" t="str">
        <f>IFERROR(__xludf.DUMMYFUNCTION("""COMPUTED_VALUE"""),"Amibe géante")</f>
        <v>Amibe géante</v>
      </c>
      <c r="C7" s="10" t="str">
        <f>IFERROR(__xludf.DUMMYFUNCTION("""COMPUTED_VALUE"""),"Monstre")</f>
        <v>Monstre</v>
      </c>
      <c r="D7" s="10">
        <f>IFERROR(__xludf.DUMMYFUNCTION("""COMPUTED_VALUE"""),9.0)</f>
        <v>9</v>
      </c>
      <c r="E7" s="10">
        <f>IFERROR(__xludf.DUMMYFUNCTION("""COMPUTED_VALUE"""),2.0)</f>
        <v>2</v>
      </c>
      <c r="F7" s="10" t="str">
        <f>IFERROR(__xludf.DUMMYFUNCTION("""COMPUTED_VALUE"""),"Non")</f>
        <v>Non</v>
      </c>
      <c r="G7" s="10" t="str">
        <f>IFERROR(__xludf.DUMMYFUNCTION("""COMPUTED_VALUE"""),"Non")</f>
        <v>Non</v>
      </c>
      <c r="H7" s="10" t="str">
        <f>IFERROR(__xludf.DUMMYFUNCTION("""COMPUTED_VALUE"""),"Lente")</f>
        <v>Lente</v>
      </c>
      <c r="I7" s="10" t="str">
        <f>IFERROR(__xludf.DUMMYFUNCTION("""COMPUTED_VALUE"""),"Non")</f>
        <v>Non</v>
      </c>
      <c r="J7" s="10" t="str">
        <f>IFERROR(__xludf.DUMMYFUNCTION("""COMPUTED_VALUE"""),"Attaque gluante - Zone")</f>
        <v>Attaque gluante - Zone</v>
      </c>
      <c r="K7" s="10" t="str">
        <f>IFERROR(__xludf.DUMMYFUNCTION("""COMPUTED_VALUE"""),"-")</f>
        <v>-</v>
      </c>
      <c r="L7" s="10" t="str">
        <f>IFERROR(__xludf.DUMMYFUNCTION("""COMPUTED_VALUE"""),"90 ±35")</f>
        <v>90 ±35</v>
      </c>
      <c r="M7" s="10" t="str">
        <f>IFERROR(__xludf.DUMMYFUNCTION("""COMPUTED_VALUE"""),"5 ±3")</f>
        <v>5 ±3</v>
      </c>
      <c r="N7" s="10" t="str">
        <f>IFERROR(__xludf.DUMMYFUNCTION("""COMPUTED_VALUE"""),"2 ±2")</f>
        <v>2 ±2</v>
      </c>
      <c r="O7" s="10" t="str">
        <f>IFERROR(__xludf.DUMMYFUNCTION("""COMPUTED_VALUE"""),"6 ±4")</f>
        <v>6 ±4</v>
      </c>
      <c r="P7" s="10" t="str">
        <f>IFERROR(__xludf.DUMMYFUNCTION("""COMPUTED_VALUE"""),"1 ±2")</f>
        <v>1 ±2</v>
      </c>
      <c r="Q7" s="10" t="str">
        <f>IFERROR(__xludf.DUMMYFUNCTION("""COMPUTED_VALUE"""),"3 ±1")</f>
        <v>3 ±1</v>
      </c>
      <c r="R7" s="10" t="str">
        <f>IFERROR(__xludf.DUMMYFUNCTION("""COMPUTED_VALUE"""),"4 ±3")</f>
        <v>4 ±3</v>
      </c>
      <c r="S7" s="10">
        <f>IFERROR(__xludf.DUMMYFUNCTION("""COMPUTED_VALUE"""),2.0)</f>
        <v>2</v>
      </c>
      <c r="T7" s="10" t="str">
        <f>IFERROR(__xludf.DUMMYFUNCTION("""COMPUTED_VALUE"""),"300 ±300")</f>
        <v>300 ±300</v>
      </c>
      <c r="U7" s="10" t="str">
        <f>IFERROR(__xludf.DUMMYFUNCTION("""COMPUTED_VALUE"""),"500 ±300")</f>
        <v>500 ±300</v>
      </c>
      <c r="V7" s="10" t="str">
        <f>IFERROR(__xludf.DUMMYFUNCTION("""COMPUTED_VALUE"""),"12 ±3")</f>
        <v>12 ±3</v>
      </c>
      <c r="W7" s="10">
        <f>IFERROR(__xludf.DUMMYFUNCTION("""COMPUTED_VALUE"""),34.0)</f>
        <v>34</v>
      </c>
      <c r="X7" s="10" t="str">
        <f>IFERROR(__xludf.DUMMYFUNCTION("""COMPUTED_VALUE"""),"Non")</f>
        <v>Non</v>
      </c>
      <c r="Y7" s="10"/>
      <c r="Z7" s="10"/>
      <c r="AA7" s="10"/>
      <c r="AB7" s="10"/>
      <c r="AC7" s="10"/>
      <c r="AD7" s="10"/>
      <c r="AE7" s="10"/>
      <c r="AF7" s="10"/>
      <c r="AG7" s="10"/>
      <c r="AH7" s="10"/>
    </row>
    <row r="8">
      <c r="A8" s="10">
        <f>IFERROR(__xludf.DUMMYFUNCTION("""COMPUTED_VALUE"""),45.0)</f>
        <v>45</v>
      </c>
      <c r="B8" s="10" t="str">
        <f>IFERROR(__xludf.DUMMYFUNCTION("""COMPUTED_VALUE"""),"Anaconda des Catacombes")</f>
        <v>Anaconda des Catacombes</v>
      </c>
      <c r="C8" s="10" t="str">
        <f>IFERROR(__xludf.DUMMYFUNCTION("""COMPUTED_VALUE"""),"Monstre")</f>
        <v>Monstre</v>
      </c>
      <c r="D8" s="10">
        <f>IFERROR(__xludf.DUMMYFUNCTION("""COMPUTED_VALUE"""),8.0)</f>
        <v>8</v>
      </c>
      <c r="E8" s="10">
        <f>IFERROR(__xludf.DUMMYFUNCTION("""COMPUTED_VALUE"""),1.0)</f>
        <v>1</v>
      </c>
      <c r="F8" s="10" t="str">
        <f>IFERROR(__xludf.DUMMYFUNCTION("""COMPUTED_VALUE"""),"")</f>
        <v/>
      </c>
      <c r="G8" s="10" t="str">
        <f>IFERROR(__xludf.DUMMYFUNCTION("""COMPUTED_VALUE"""),"Non")</f>
        <v>Non</v>
      </c>
      <c r="H8" s="10" t="str">
        <f>IFERROR(__xludf.DUMMYFUNCTION("""COMPUTED_VALUE"""),"Normale")</f>
        <v>Normale</v>
      </c>
      <c r="I8" s="10" t="str">
        <f>IFERROR(__xludf.DUMMYFUNCTION("""COMPUTED_VALUE"""),"Non")</f>
        <v>Non</v>
      </c>
      <c r="J8" s="10" t="str">
        <f>IFERROR(__xludf.DUMMYFUNCTION("""COMPUTED_VALUE"""),"")</f>
        <v/>
      </c>
      <c r="K8" s="10" t="str">
        <f>IFERROR(__xludf.DUMMYFUNCTION("""COMPUTED_VALUE"""),"")</f>
        <v/>
      </c>
      <c r="L8" s="10" t="str">
        <f>IFERROR(__xludf.DUMMYFUNCTION("""COMPUTED_VALUE"""),"60 ±30")</f>
        <v>60 ±30</v>
      </c>
      <c r="M8" s="10" t="str">
        <f>IFERROR(__xludf.DUMMYFUNCTION("""COMPUTED_VALUE"""),"4 ±3")</f>
        <v>4 ±3</v>
      </c>
      <c r="N8" s="10" t="str">
        <f>IFERROR(__xludf.DUMMYFUNCTION("""COMPUTED_VALUE"""),"6 ±3")</f>
        <v>6 ±3</v>
      </c>
      <c r="O8" s="10" t="str">
        <f>IFERROR(__xludf.DUMMYFUNCTION("""COMPUTED_VALUE"""),"5 ±3")</f>
        <v>5 ±3</v>
      </c>
      <c r="P8" s="10" t="str">
        <f>IFERROR(__xludf.DUMMYFUNCTION("""COMPUTED_VALUE"""),"2 ±1")</f>
        <v>2 ±1</v>
      </c>
      <c r="Q8" s="10" t="str">
        <f>IFERROR(__xludf.DUMMYFUNCTION("""COMPUTED_VALUE"""),"2 ±1")</f>
        <v>2 ±1</v>
      </c>
      <c r="R8" s="10" t="str">
        <f>IFERROR(__xludf.DUMMYFUNCTION("""COMPUTED_VALUE"""),"2 ±2")</f>
        <v>2 ±2</v>
      </c>
      <c r="S8" s="10">
        <f>IFERROR(__xludf.DUMMYFUNCTION("""COMPUTED_VALUE"""),2.0)</f>
        <v>2</v>
      </c>
      <c r="T8" s="10" t="str">
        <f>IFERROR(__xludf.DUMMYFUNCTION("""COMPUTED_VALUE"""),"100 ±200")</f>
        <v>100 ±200</v>
      </c>
      <c r="U8" s="10" t="str">
        <f>IFERROR(__xludf.DUMMYFUNCTION("""COMPUTED_VALUE"""),"100 ±100")</f>
        <v>100 ±100</v>
      </c>
      <c r="V8" s="10" t="str">
        <f>IFERROR(__xludf.DUMMYFUNCTION("""COMPUTED_VALUE"""),"11 ±5")</f>
        <v>11 ±5</v>
      </c>
      <c r="W8" s="10">
        <f>IFERROR(__xludf.DUMMYFUNCTION("""COMPUTED_VALUE"""),23.0)</f>
        <v>23</v>
      </c>
      <c r="X8" s="10" t="str">
        <f>IFERROR(__xludf.DUMMYFUNCTION("""COMPUTED_VALUE"""),"Non")</f>
        <v>Non</v>
      </c>
      <c r="Y8" s="10"/>
      <c r="Z8" s="10"/>
      <c r="AA8" s="10"/>
      <c r="AB8" s="10"/>
      <c r="AC8" s="10"/>
      <c r="AD8" s="10"/>
      <c r="AE8" s="10"/>
      <c r="AF8" s="10"/>
      <c r="AG8" s="10"/>
      <c r="AH8" s="10"/>
    </row>
    <row r="9">
      <c r="A9" s="10" t="str">
        <f>IFERROR(__xludf.DUMMYFUNCTION("""COMPUTED_VALUE"""),"*Id*")</f>
        <v>*Id*</v>
      </c>
      <c r="B9" s="10" t="str">
        <f>IFERROR(__xludf.DUMMYFUNCTION("""COMPUTED_VALUE"""),"*Nom*")</f>
        <v>*Nom*</v>
      </c>
      <c r="C9" s="10" t="str">
        <f>IFERROR(__xludf.DUMMYFUNCTION("""COMPUTED_VALUE"""),"*Famille*")</f>
        <v>*Famille*</v>
      </c>
      <c r="D9" s="10" t="str">
        <f>IFERROR(__xludf.DUMMYFUNCTION("""COMPUTED_VALUE"""),"*Niv*")</f>
        <v>*Niv*</v>
      </c>
      <c r="E9" s="10" t="str">
        <f>IFERROR(__xludf.DUMMYFUNCTION("""COMPUTED_VALUE"""),"*Nb att*")</f>
        <v>*Nb att*</v>
      </c>
      <c r="F9" s="10" t="str">
        <f>IFERROR(__xludf.DUMMYFUNCTION("""COMPUTED_VALUE"""),"*Att mag*")</f>
        <v>*Att mag*</v>
      </c>
      <c r="G9" s="10" t="str">
        <f>IFERROR(__xludf.DUMMYFUNCTION("""COMPUTED_VALUE"""),"*Att dist*")</f>
        <v>*Att dist*</v>
      </c>
      <c r="H9" s="10" t="str">
        <f>IFERROR(__xludf.DUMMYFUNCTION("""COMPUTED_VALUE"""),"*Vit*")</f>
        <v>*Vit*</v>
      </c>
      <c r="I9" s="10" t="str">
        <f>IFERROR(__xludf.DUMMYFUNCTION("""COMPUTED_VALUE"""),"*VlC*")</f>
        <v>*VlC*</v>
      </c>
      <c r="J9" s="10" t="str">
        <f>IFERROR(__xludf.DUMMYFUNCTION("""COMPUTED_VALUE"""),"*Pouvoir 1*")</f>
        <v>*Pouvoir 1*</v>
      </c>
      <c r="K9" s="10" t="str">
        <f>IFERROR(__xludf.DUMMYFUNCTION("""COMPUTED_VALUE"""),"*Pouvoir 2*")</f>
        <v>*Pouvoir 2*</v>
      </c>
      <c r="L9" s="10" t="str">
        <f>IFERROR(__xludf.DUMMYFUNCTION("""COMPUTED_VALUE"""),"*PV*")</f>
        <v>*PV*</v>
      </c>
      <c r="M9" s="10" t="str">
        <f>IFERROR(__xludf.DUMMYFUNCTION("""COMPUTED_VALUE"""),"*Att*")</f>
        <v>*Att*</v>
      </c>
      <c r="N9" s="10" t="str">
        <f>IFERROR(__xludf.DUMMYFUNCTION("""COMPUTED_VALUE"""),"*Esq*")</f>
        <v>*Esq*</v>
      </c>
      <c r="O9" s="10" t="str">
        <f>IFERROR(__xludf.DUMMYFUNCTION("""COMPUTED_VALUE"""),"*Dégât*")</f>
        <v>*Dégât*</v>
      </c>
      <c r="P9" s="10" t="str">
        <f>IFERROR(__xludf.DUMMYFUNCTION("""COMPUTED_VALUE"""),"*Vue*")</f>
        <v>*Vue*</v>
      </c>
      <c r="Q9" s="10" t="str">
        <f>IFERROR(__xludf.DUMMYFUNCTION("""COMPUTED_VALUE"""),"*Régen*")</f>
        <v>*Régen*</v>
      </c>
      <c r="R9" s="10" t="str">
        <f>IFERROR(__xludf.DUMMYFUNCTION("""COMPUTED_VALUE"""),"*Arm phy*")</f>
        <v>*Arm phy*</v>
      </c>
      <c r="S9" s="10" t="str">
        <f>IFERROR(__xludf.DUMMYFUNCTION("""COMPUTED_VALUE"""),"*Arm mag*")</f>
        <v>*Arm mag*</v>
      </c>
      <c r="T9" s="10" t="str">
        <f>IFERROR(__xludf.DUMMYFUNCTION("""COMPUTED_VALUE"""),"*MM*")</f>
        <v>*MM*</v>
      </c>
      <c r="U9" s="10" t="str">
        <f>IFERROR(__xludf.DUMMYFUNCTION("""COMPUTED_VALUE"""),"*RM*")</f>
        <v>*RM*</v>
      </c>
      <c r="V9" s="10" t="str">
        <f>IFERROR(__xludf.DUMMYFUNCTION("""COMPUTED_VALUE"""),"*DLA*")</f>
        <v>*DLA*</v>
      </c>
      <c r="W9" s="10" t="str">
        <f>IFERROR(__xludf.DUMMYFUNCTION("""COMPUTED_VALUE"""),"*Echant*")</f>
        <v>*Echant*</v>
      </c>
      <c r="X9" s="10" t="str">
        <f>IFERROR(__xludf.DUMMYFUNCTION("""COMPUTED_VALUE"""),"*Vole*")</f>
        <v>*Vole*</v>
      </c>
      <c r="Y9" s="10"/>
      <c r="Z9" s="10"/>
      <c r="AA9" s="10"/>
      <c r="AB9" s="10"/>
      <c r="AC9" s="10"/>
      <c r="AD9" s="10"/>
      <c r="AE9" s="10"/>
      <c r="AF9" s="10"/>
      <c r="AG9" s="10"/>
      <c r="AH9" s="10"/>
    </row>
    <row r="10">
      <c r="A10" s="10">
        <f>IFERROR(__xludf.DUMMYFUNCTION("""COMPUTED_VALUE"""),75.0)</f>
        <v>75</v>
      </c>
      <c r="B10" s="10" t="str">
        <f>IFERROR(__xludf.DUMMYFUNCTION("""COMPUTED_VALUE"""),"Ankheg")</f>
        <v>Ankheg</v>
      </c>
      <c r="C10" s="10" t="str">
        <f>IFERROR(__xludf.DUMMYFUNCTION("""COMPUTED_VALUE"""),"Insecte")</f>
        <v>Insecte</v>
      </c>
      <c r="D10" s="10">
        <f>IFERROR(__xludf.DUMMYFUNCTION("""COMPUTED_VALUE"""),10.0)</f>
        <v>10</v>
      </c>
      <c r="E10" s="10">
        <f>IFERROR(__xludf.DUMMYFUNCTION("""COMPUTED_VALUE"""),1.0)</f>
        <v>1</v>
      </c>
      <c r="F10" s="10" t="str">
        <f>IFERROR(__xludf.DUMMYFUNCTION("""COMPUTED_VALUE"""),"")</f>
        <v/>
      </c>
      <c r="G10" s="10" t="str">
        <f>IFERROR(__xludf.DUMMYFUNCTION("""COMPUTED_VALUE"""),"Non")</f>
        <v>Non</v>
      </c>
      <c r="H10" s="10" t="str">
        <f>IFERROR(__xludf.DUMMYFUNCTION("""COMPUTED_VALUE"""),"Normale")</f>
        <v>Normale</v>
      </c>
      <c r="I10" s="10" t="str">
        <f>IFERROR(__xludf.DUMMYFUNCTION("""COMPUTED_VALUE"""),"Non")</f>
        <v>Non</v>
      </c>
      <c r="J10" s="10" t="str">
        <f>IFERROR(__xludf.DUMMYFUNCTION("""COMPUTED_VALUE"""),"Acide - Zone")</f>
        <v>Acide - Zone</v>
      </c>
      <c r="K10" s="10" t="str">
        <f>IFERROR(__xludf.DUMMYFUNCTION("""COMPUTED_VALUE"""),"-")</f>
        <v>-</v>
      </c>
      <c r="L10" s="10" t="str">
        <f>IFERROR(__xludf.DUMMYFUNCTION("""COMPUTED_VALUE"""),"95 ±35")</f>
        <v>95 ±35</v>
      </c>
      <c r="M10" s="10" t="str">
        <f>IFERROR(__xludf.DUMMYFUNCTION("""COMPUTED_VALUE"""),"8 ±3")</f>
        <v>8 ±3</v>
      </c>
      <c r="N10" s="10" t="str">
        <f>IFERROR(__xludf.DUMMYFUNCTION("""COMPUTED_VALUE"""),"5 ±3")</f>
        <v>5 ±3</v>
      </c>
      <c r="O10" s="10" t="str">
        <f>IFERROR(__xludf.DUMMYFUNCTION("""COMPUTED_VALUE"""),"6 ±3")</f>
        <v>6 ±3</v>
      </c>
      <c r="P10" s="10" t="str">
        <f>IFERROR(__xludf.DUMMYFUNCTION("""COMPUTED_VALUE"""),"4 ±2")</f>
        <v>4 ±2</v>
      </c>
      <c r="Q10" s="10" t="str">
        <f>IFERROR(__xludf.DUMMYFUNCTION("""COMPUTED_VALUE"""),"2 ±1")</f>
        <v>2 ±1</v>
      </c>
      <c r="R10" s="10" t="str">
        <f>IFERROR(__xludf.DUMMYFUNCTION("""COMPUTED_VALUE"""),"15 ±4")</f>
        <v>15 ±4</v>
      </c>
      <c r="S10" s="10">
        <f>IFERROR(__xludf.DUMMYFUNCTION("""COMPUTED_VALUE"""),2.0)</f>
        <v>2</v>
      </c>
      <c r="T10" s="10" t="str">
        <f>IFERROR(__xludf.DUMMYFUNCTION("""COMPUTED_VALUE"""),"300 ±300")</f>
        <v>300 ±300</v>
      </c>
      <c r="U10" s="10" t="str">
        <f>IFERROR(__xludf.DUMMYFUNCTION("""COMPUTED_VALUE"""),"300 ±200")</f>
        <v>300 ±200</v>
      </c>
      <c r="V10" s="10" t="str">
        <f>IFERROR(__xludf.DUMMYFUNCTION("""COMPUTED_VALUE"""),"13 ±3")</f>
        <v>13 ±3</v>
      </c>
      <c r="W10" s="10">
        <f>IFERROR(__xludf.DUMMYFUNCTION("""COMPUTED_VALUE"""),27.0)</f>
        <v>27</v>
      </c>
      <c r="X10" s="10" t="str">
        <f>IFERROR(__xludf.DUMMYFUNCTION("""COMPUTED_VALUE"""),"Non")</f>
        <v>Non</v>
      </c>
      <c r="Y10" s="10"/>
      <c r="Z10" s="10"/>
      <c r="AA10" s="10"/>
      <c r="AB10" s="10"/>
      <c r="AC10" s="10"/>
      <c r="AD10" s="10"/>
      <c r="AE10" s="10"/>
      <c r="AF10" s="10"/>
      <c r="AG10" s="10"/>
      <c r="AH10" s="10"/>
    </row>
    <row r="11">
      <c r="A11" s="10">
        <f>IFERROR(__xludf.DUMMYFUNCTION("""COMPUTED_VALUE"""),203.0)</f>
        <v>203</v>
      </c>
      <c r="B11" s="10" t="str">
        <f>IFERROR(__xludf.DUMMYFUNCTION("""COMPUTED_VALUE"""),"Anoploure Purpurin")</f>
        <v>Anoploure Purpurin</v>
      </c>
      <c r="C11" s="10" t="str">
        <f>IFERROR(__xludf.DUMMYFUNCTION("""COMPUTED_VALUE"""),"Insecte")</f>
        <v>Insecte</v>
      </c>
      <c r="D11" s="10">
        <f>IFERROR(__xludf.DUMMYFUNCTION("""COMPUTED_VALUE"""),36.0)</f>
        <v>36</v>
      </c>
      <c r="E11" s="10">
        <f>IFERROR(__xludf.DUMMYFUNCTION("""COMPUTED_VALUE"""),1.0)</f>
        <v>1</v>
      </c>
      <c r="F11" s="10" t="str">
        <f>IFERROR(__xludf.DUMMYFUNCTION("""COMPUTED_VALUE"""),"Non")</f>
        <v>Non</v>
      </c>
      <c r="G11" s="10" t="str">
        <f>IFERROR(__xludf.DUMMYFUNCTION("""COMPUTED_VALUE"""),"Non")</f>
        <v>Non</v>
      </c>
      <c r="H11" s="10" t="str">
        <f>IFERROR(__xludf.DUMMYFUNCTION("""COMPUTED_VALUE"""),"Normale")</f>
        <v>Normale</v>
      </c>
      <c r="I11" s="10" t="str">
        <f>IFERROR(__xludf.DUMMYFUNCTION("""COMPUTED_VALUE"""),"Non")</f>
        <v>Non</v>
      </c>
      <c r="J11" s="10" t="str">
        <f>IFERROR(__xludf.DUMMYFUNCTION("""COMPUTED_VALUE"""),"Maladie - Zone")</f>
        <v>Maladie - Zone</v>
      </c>
      <c r="K11" s="10" t="str">
        <f>IFERROR(__xludf.DUMMYFUNCTION("""COMPUTED_VALUE"""),"-")</f>
        <v>-</v>
      </c>
      <c r="L11" s="10" t="str">
        <f>IFERROR(__xludf.DUMMYFUNCTION("""COMPUTED_VALUE"""),"170 ±45")</f>
        <v>170 ±45</v>
      </c>
      <c r="M11" s="10" t="str">
        <f>IFERROR(__xludf.DUMMYFUNCTION("""COMPUTED_VALUE"""),"14 ±3")</f>
        <v>14 ±3</v>
      </c>
      <c r="N11" s="10" t="str">
        <f>IFERROR(__xludf.DUMMYFUNCTION("""COMPUTED_VALUE"""),"14 ±4")</f>
        <v>14 ±4</v>
      </c>
      <c r="O11" s="10" t="str">
        <f>IFERROR(__xludf.DUMMYFUNCTION("""COMPUTED_VALUE"""),"16 ±4")</f>
        <v>16 ±4</v>
      </c>
      <c r="P11" s="10" t="str">
        <f>IFERROR(__xludf.DUMMYFUNCTION("""COMPUTED_VALUE"""),"3 ±2")</f>
        <v>3 ±2</v>
      </c>
      <c r="Q11" s="10" t="str">
        <f>IFERROR(__xludf.DUMMYFUNCTION("""COMPUTED_VALUE"""),"10 ±2")</f>
        <v>10 ±2</v>
      </c>
      <c r="R11" s="10" t="str">
        <f>IFERROR(__xludf.DUMMYFUNCTION("""COMPUTED_VALUE"""),"10 ±3")</f>
        <v>10 ±3</v>
      </c>
      <c r="S11" s="10">
        <f>IFERROR(__xludf.DUMMYFUNCTION("""COMPUTED_VALUE"""),2.0)</f>
        <v>2</v>
      </c>
      <c r="T11" s="10" t="str">
        <f>IFERROR(__xludf.DUMMYFUNCTION("""COMPUTED_VALUE"""),"1900 ±500")</f>
        <v>1900 ±500</v>
      </c>
      <c r="U11" s="10" t="str">
        <f>IFERROR(__xludf.DUMMYFUNCTION("""COMPUTED_VALUE"""),"1600 ±400")</f>
        <v>1600 ±400</v>
      </c>
      <c r="V11" s="10" t="str">
        <f>IFERROR(__xludf.DUMMYFUNCTION("""COMPUTED_VALUE"""),"13 ±4")</f>
        <v>13 ±4</v>
      </c>
      <c r="W11" s="10">
        <f>IFERROR(__xludf.DUMMYFUNCTION("""COMPUTED_VALUE"""),44.0)</f>
        <v>44</v>
      </c>
      <c r="X11" s="10" t="str">
        <f>IFERROR(__xludf.DUMMYFUNCTION("""COMPUTED_VALUE"""),"Non")</f>
        <v>Non</v>
      </c>
      <c r="Y11" s="10"/>
      <c r="Z11" s="10"/>
      <c r="AA11" s="10"/>
      <c r="AB11" s="10"/>
      <c r="AC11" s="10"/>
      <c r="AD11" s="10"/>
      <c r="AE11" s="10"/>
      <c r="AF11" s="10"/>
      <c r="AG11" s="10"/>
      <c r="AH11" s="10"/>
    </row>
    <row r="12">
      <c r="A12" s="10" t="str">
        <f>IFERROR(__xludf.DUMMYFUNCTION("""COMPUTED_VALUE"""),"")</f>
        <v/>
      </c>
      <c r="B12" s="10" t="str">
        <f>IFERROR(__xludf.DUMMYFUNCTION("""COMPUTED_VALUE"""),"Aragnarok du Chaos")</f>
        <v>Aragnarok du Chaos</v>
      </c>
      <c r="C12" s="10" t="str">
        <f>IFERROR(__xludf.DUMMYFUNCTION("""COMPUTED_VALUE"""),"Insecte")</f>
        <v>Insecte</v>
      </c>
      <c r="D12" s="10" t="str">
        <f>IFERROR(__xludf.DUMMYFUNCTION("""COMPUTED_VALUE"""),"?")</f>
        <v>?</v>
      </c>
      <c r="E12" s="10">
        <f>IFERROR(__xludf.DUMMYFUNCTION("""COMPUTED_VALUE"""),1.0)</f>
        <v>1</v>
      </c>
      <c r="F12" s="10" t="str">
        <f>IFERROR(__xludf.DUMMYFUNCTION("""COMPUTED_VALUE"""),"")</f>
        <v/>
      </c>
      <c r="G12" s="10" t="str">
        <f>IFERROR(__xludf.DUMMYFUNCTION("""COMPUTED_VALUE"""),"Non")</f>
        <v>Non</v>
      </c>
      <c r="H12" s="10" t="str">
        <f>IFERROR(__xludf.DUMMYFUNCTION("""COMPUTED_VALUE"""),"Normale")</f>
        <v>Normale</v>
      </c>
      <c r="I12" s="10" t="str">
        <f>IFERROR(__xludf.DUMMYFUNCTION("""COMPUTED_VALUE"""),"Oui")</f>
        <v>Oui</v>
      </c>
      <c r="J12" s="10" t="str">
        <f>IFERROR(__xludf.DUMMYFUNCTION("""COMPUTED_VALUE"""),"Attaque paralysante - Auto")</f>
        <v>Attaque paralysante - Auto</v>
      </c>
      <c r="K12" s="10" t="str">
        <f>IFERROR(__xludf.DUMMYFUNCTION("""COMPUTED_VALUE"""),"-")</f>
        <v>-</v>
      </c>
      <c r="L12" s="10" t="str">
        <f>IFERROR(__xludf.DUMMYFUNCTION("""COMPUTED_VALUE"""),"70 ±")</f>
        <v>70 ±</v>
      </c>
      <c r="M12" s="10" t="str">
        <f>IFERROR(__xludf.DUMMYFUNCTION("""COMPUTED_VALUE"""),"15 ±")</f>
        <v>15 ±</v>
      </c>
      <c r="N12" s="10" t="str">
        <f>IFERROR(__xludf.DUMMYFUNCTION("""COMPUTED_VALUE"""),"8 ±")</f>
        <v>8 ±</v>
      </c>
      <c r="O12" s="10" t="str">
        <f>IFERROR(__xludf.DUMMYFUNCTION("""COMPUTED_VALUE"""),"12 ±")</f>
        <v>12 ±</v>
      </c>
      <c r="P12" s="10" t="str">
        <f>IFERROR(__xludf.DUMMYFUNCTION("""COMPUTED_VALUE"""),"2 ±")</f>
        <v>2 ±</v>
      </c>
      <c r="Q12" s="10" t="str">
        <f>IFERROR(__xludf.DUMMYFUNCTION("""COMPUTED_VALUE"""),"2 ±")</f>
        <v>2 ±</v>
      </c>
      <c r="R12" s="10" t="str">
        <f>IFERROR(__xludf.DUMMYFUNCTION("""COMPUTED_VALUE"""),"6 ±")</f>
        <v>6 ±</v>
      </c>
      <c r="S12" s="10">
        <f>IFERROR(__xludf.DUMMYFUNCTION("""COMPUTED_VALUE"""),2.0)</f>
        <v>2</v>
      </c>
      <c r="T12" s="10" t="str">
        <f>IFERROR(__xludf.DUMMYFUNCTION("""COMPUTED_VALUE"""),"1100 ±")</f>
        <v>1100 ±</v>
      </c>
      <c r="U12" s="10" t="str">
        <f>IFERROR(__xludf.DUMMYFUNCTION("""COMPUTED_VALUE"""),"1000 ±")</f>
        <v>1000 ±</v>
      </c>
      <c r="V12" s="10" t="str">
        <f>IFERROR(__xludf.DUMMYFUNCTION("""COMPUTED_VALUE"""),"9 ±")</f>
        <v>9 ±</v>
      </c>
      <c r="W12" s="10">
        <f>IFERROR(__xludf.DUMMYFUNCTION("""COMPUTED_VALUE"""),1.0)</f>
        <v>1</v>
      </c>
      <c r="X12" s="10" t="str">
        <f>IFERROR(__xludf.DUMMYFUNCTION("""COMPUTED_VALUE"""),"Non")</f>
        <v>Non</v>
      </c>
      <c r="Y12" s="10"/>
      <c r="Z12" s="10"/>
      <c r="AA12" s="10"/>
      <c r="AB12" s="10"/>
      <c r="AC12" s="10"/>
      <c r="AD12" s="10"/>
      <c r="AE12" s="10"/>
      <c r="AF12" s="10"/>
      <c r="AG12" s="10"/>
      <c r="AH12" s="10"/>
    </row>
    <row r="13">
      <c r="A13" s="10">
        <f>IFERROR(__xludf.DUMMYFUNCTION("""COMPUTED_VALUE"""),15.0)</f>
        <v>15</v>
      </c>
      <c r="B13" s="10" t="str">
        <f>IFERROR(__xludf.DUMMYFUNCTION("""COMPUTED_VALUE"""),"Araignée Géante")</f>
        <v>Araignée Géante</v>
      </c>
      <c r="C13" s="10" t="str">
        <f>IFERROR(__xludf.DUMMYFUNCTION("""COMPUTED_VALUE"""),"Insecte")</f>
        <v>Insecte</v>
      </c>
      <c r="D13" s="10">
        <f>IFERROR(__xludf.DUMMYFUNCTION("""COMPUTED_VALUE"""),2.0)</f>
        <v>2</v>
      </c>
      <c r="E13" s="10">
        <f>IFERROR(__xludf.DUMMYFUNCTION("""COMPUTED_VALUE"""),1.0)</f>
        <v>1</v>
      </c>
      <c r="F13" s="10" t="str">
        <f>IFERROR(__xludf.DUMMYFUNCTION("""COMPUTED_VALUE"""),"")</f>
        <v/>
      </c>
      <c r="G13" s="10" t="str">
        <f>IFERROR(__xludf.DUMMYFUNCTION("""COMPUTED_VALUE"""),"Non")</f>
        <v>Non</v>
      </c>
      <c r="H13" s="10" t="str">
        <f>IFERROR(__xludf.DUMMYFUNCTION("""COMPUTED_VALUE"""),"Normale")</f>
        <v>Normale</v>
      </c>
      <c r="I13" s="10" t="str">
        <f>IFERROR(__xludf.DUMMYFUNCTION("""COMPUTED_VALUE"""),"Non")</f>
        <v>Non</v>
      </c>
      <c r="J13" s="10" t="str">
        <f>IFERROR(__xludf.DUMMYFUNCTION("""COMPUTED_VALUE"""),"Venin - Toucher")</f>
        <v>Venin - Toucher</v>
      </c>
      <c r="K13" s="10" t="str">
        <f>IFERROR(__xludf.DUMMYFUNCTION("""COMPUTED_VALUE"""),"-")</f>
        <v>-</v>
      </c>
      <c r="L13" s="10" t="str">
        <f>IFERROR(__xludf.DUMMYFUNCTION("""COMPUTED_VALUE"""),"40 ±25")</f>
        <v>40 ±25</v>
      </c>
      <c r="M13" s="10" t="str">
        <f>IFERROR(__xludf.DUMMYFUNCTION("""COMPUTED_VALUE"""),"4 ±3")</f>
        <v>4 ±3</v>
      </c>
      <c r="N13" s="10" t="str">
        <f>IFERROR(__xludf.DUMMYFUNCTION("""COMPUTED_VALUE"""),"4 ±3")</f>
        <v>4 ±3</v>
      </c>
      <c r="O13" s="10" t="str">
        <f>IFERROR(__xludf.DUMMYFUNCTION("""COMPUTED_VALUE"""),"3 ±2")</f>
        <v>3 ±2</v>
      </c>
      <c r="P13" s="10" t="str">
        <f>IFERROR(__xludf.DUMMYFUNCTION("""COMPUTED_VALUE"""),"3 ±2")</f>
        <v>3 ±2</v>
      </c>
      <c r="Q13" s="10" t="str">
        <f>IFERROR(__xludf.DUMMYFUNCTION("""COMPUTED_VALUE"""),"1 ±1")</f>
        <v>1 ±1</v>
      </c>
      <c r="R13" s="10" t="str">
        <f>IFERROR(__xludf.DUMMYFUNCTION("""COMPUTED_VALUE"""),"1 ±2")</f>
        <v>1 ±2</v>
      </c>
      <c r="S13" s="10">
        <f>IFERROR(__xludf.DUMMYFUNCTION("""COMPUTED_VALUE"""),1.0)</f>
        <v>1</v>
      </c>
      <c r="T13" s="10" t="str">
        <f>IFERROR(__xludf.DUMMYFUNCTION("""COMPUTED_VALUE"""),"")</f>
        <v/>
      </c>
      <c r="U13" s="10" t="str">
        <f>IFERROR(__xludf.DUMMYFUNCTION("""COMPUTED_VALUE"""),"100 ±")</f>
        <v>100 ±</v>
      </c>
      <c r="V13" s="10" t="str">
        <f>IFERROR(__xludf.DUMMYFUNCTION("""COMPUTED_VALUE"""),"")</f>
        <v/>
      </c>
      <c r="W13" s="10">
        <f>IFERROR(__xludf.DUMMYFUNCTION("""COMPUTED_VALUE"""),22.0)</f>
        <v>22</v>
      </c>
      <c r="X13" s="10" t="str">
        <f>IFERROR(__xludf.DUMMYFUNCTION("""COMPUTED_VALUE"""),"Non")</f>
        <v>Non</v>
      </c>
      <c r="Y13" s="10"/>
      <c r="Z13" s="10"/>
      <c r="AA13" s="10"/>
      <c r="AB13" s="10"/>
      <c r="AC13" s="10"/>
      <c r="AD13" s="10"/>
      <c r="AE13" s="10"/>
      <c r="AF13" s="10"/>
      <c r="AG13" s="10"/>
      <c r="AH13" s="10"/>
    </row>
    <row r="14">
      <c r="A14" s="10">
        <f>IFERROR(__xludf.DUMMYFUNCTION("""COMPUTED_VALUE"""),221.0)</f>
        <v>221</v>
      </c>
      <c r="B14" s="10" t="str">
        <f>IFERROR(__xludf.DUMMYFUNCTION("""COMPUTED_VALUE"""),"Ashashin")</f>
        <v>Ashashin</v>
      </c>
      <c r="C14" s="10" t="str">
        <f>IFERROR(__xludf.DUMMYFUNCTION("""COMPUTED_VALUE"""),"Humanoïde")</f>
        <v>Humanoïde</v>
      </c>
      <c r="D14" s="10">
        <f>IFERROR(__xludf.DUMMYFUNCTION("""COMPUTED_VALUE"""),35.0)</f>
        <v>35</v>
      </c>
      <c r="E14" s="10">
        <f>IFERROR(__xludf.DUMMYFUNCTION("""COMPUTED_VALUE"""),3.0)</f>
        <v>3</v>
      </c>
      <c r="F14" s="10" t="str">
        <f>IFERROR(__xludf.DUMMYFUNCTION("""COMPUTED_VALUE"""),"Non")</f>
        <v>Non</v>
      </c>
      <c r="G14" s="10" t="str">
        <f>IFERROR(__xludf.DUMMYFUNCTION("""COMPUTED_VALUE"""),"Oui special")</f>
        <v>Oui special</v>
      </c>
      <c r="H14" s="10" t="str">
        <f>IFERROR(__xludf.DUMMYFUNCTION("""COMPUTED_VALUE"""),"Lente")</f>
        <v>Lente</v>
      </c>
      <c r="I14" s="10" t="str">
        <f>IFERROR(__xludf.DUMMYFUNCTION("""COMPUTED_VALUE"""),"Non")</f>
        <v>Non</v>
      </c>
      <c r="J14" s="10" t="str">
        <f>IFERROR(__xludf.DUMMYFUNCTION("""COMPUTED_VALUE"""),"Attraction - Auto")</f>
        <v>Attraction - Auto</v>
      </c>
      <c r="K14" s="10" t="str">
        <f>IFERROR(__xludf.DUMMYFUNCTION("""COMPUTED_VALUE"""),"Camouflage ?")</f>
        <v>Camouflage ?</v>
      </c>
      <c r="L14" s="10" t="str">
        <f>IFERROR(__xludf.DUMMYFUNCTION("""COMPUTED_VALUE"""),"115 ±25")</f>
        <v>115 ±25</v>
      </c>
      <c r="M14" s="10" t="str">
        <f>IFERROR(__xludf.DUMMYFUNCTION("""COMPUTED_VALUE"""),"9 ±2")</f>
        <v>9 ±2</v>
      </c>
      <c r="N14" s="10" t="str">
        <f>IFERROR(__xludf.DUMMYFUNCTION("""COMPUTED_VALUE"""),"9 ±3")</f>
        <v>9 ±3</v>
      </c>
      <c r="O14" s="10" t="str">
        <f>IFERROR(__xludf.DUMMYFUNCTION("""COMPUTED_VALUE"""),"20 ±4")</f>
        <v>20 ±4</v>
      </c>
      <c r="P14" s="10" t="str">
        <f>IFERROR(__xludf.DUMMYFUNCTION("""COMPUTED_VALUE"""),"6 ±4")</f>
        <v>6 ±4</v>
      </c>
      <c r="Q14" s="10" t="str">
        <f>IFERROR(__xludf.DUMMYFUNCTION("""COMPUTED_VALUE"""),"6 ±1")</f>
        <v>6 ±1</v>
      </c>
      <c r="R14" s="10" t="str">
        <f>IFERROR(__xludf.DUMMYFUNCTION("""COMPUTED_VALUE"""),"1 ±1")</f>
        <v>1 ±1</v>
      </c>
      <c r="S14" s="10">
        <f>IFERROR(__xludf.DUMMYFUNCTION("""COMPUTED_VALUE"""),1.0)</f>
        <v>1</v>
      </c>
      <c r="T14" s="10" t="str">
        <f>IFERROR(__xludf.DUMMYFUNCTION("""COMPUTED_VALUE"""),"1100 ±300")</f>
        <v>1100 ±300</v>
      </c>
      <c r="U14" s="10" t="str">
        <f>IFERROR(__xludf.DUMMYFUNCTION("""COMPUTED_VALUE"""),"1100 ±400")</f>
        <v>1100 ±400</v>
      </c>
      <c r="V14" s="10" t="str">
        <f>IFERROR(__xludf.DUMMYFUNCTION("""COMPUTED_VALUE"""),"")</f>
        <v/>
      </c>
      <c r="W14" s="10">
        <f>IFERROR(__xludf.DUMMYFUNCTION("""COMPUTED_VALUE"""),2.0)</f>
        <v>2</v>
      </c>
      <c r="X14" s="10" t="str">
        <f>IFERROR(__xludf.DUMMYFUNCTION("""COMPUTED_VALUE"""),"Non")</f>
        <v>Non</v>
      </c>
      <c r="Y14" s="10"/>
      <c r="Z14" s="10"/>
      <c r="AA14" s="10"/>
      <c r="AB14" s="10"/>
      <c r="AC14" s="10"/>
      <c r="AD14" s="10"/>
      <c r="AE14" s="10"/>
      <c r="AF14" s="10"/>
      <c r="AG14" s="10"/>
      <c r="AH14" s="10"/>
    </row>
    <row r="15">
      <c r="A15" s="10" t="str">
        <f>IFERROR(__xludf.DUMMYFUNCTION("""COMPUTED_VALUE"""),"")</f>
        <v/>
      </c>
      <c r="B15" s="10" t="str">
        <f>IFERROR(__xludf.DUMMYFUNCTION("""COMPUTED_VALUE"""),"Balrog")</f>
        <v>Balrog</v>
      </c>
      <c r="C15" s="10" t="str">
        <f>IFERROR(__xludf.DUMMYFUNCTION("""COMPUTED_VALUE"""),"Démon")</f>
        <v>Démon</v>
      </c>
      <c r="D15" s="10">
        <f>IFERROR(__xludf.DUMMYFUNCTION("""COMPUTED_VALUE"""),50.0)</f>
        <v>50</v>
      </c>
      <c r="E15" s="10">
        <f>IFERROR(__xludf.DUMMYFUNCTION("""COMPUTED_VALUE"""),2.0)</f>
        <v>2</v>
      </c>
      <c r="F15" s="10" t="str">
        <f>IFERROR(__xludf.DUMMYFUNCTION("""COMPUTED_VALUE"""),"?")</f>
        <v>?</v>
      </c>
      <c r="G15" s="10" t="str">
        <f>IFERROR(__xludf.DUMMYFUNCTION("""COMPUTED_VALUE"""),"Non")</f>
        <v>Non</v>
      </c>
      <c r="H15" s="10" t="str">
        <f>IFERROR(__xludf.DUMMYFUNCTION("""COMPUTED_VALUE"""),"Normale")</f>
        <v>Normale</v>
      </c>
      <c r="I15" s="10" t="str">
        <f>IFERROR(__xludf.DUMMYFUNCTION("""COMPUTED_VALUE"""),"Oui")</f>
        <v>Oui</v>
      </c>
      <c r="J15" s="10" t="str">
        <f>IFERROR(__xludf.DUMMYFUNCTION("""COMPUTED_VALUE"""),"Aura de feu")</f>
        <v>Aura de feu</v>
      </c>
      <c r="K15" s="10" t="str">
        <f>IFERROR(__xludf.DUMMYFUNCTION("""COMPUTED_VALUE"""),"Mort:Embrasement Magique?")</f>
        <v>Mort:Embrasement Magique?</v>
      </c>
      <c r="L15" s="10" t="str">
        <f>IFERROR(__xludf.DUMMYFUNCTION("""COMPUTED_VALUE"""),"480*")</f>
        <v>480*</v>
      </c>
      <c r="M15" s="10" t="str">
        <f>IFERROR(__xludf.DUMMYFUNCTION("""COMPUTED_VALUE"""),"37*")</f>
        <v>37*</v>
      </c>
      <c r="N15" s="10" t="str">
        <f>IFERROR(__xludf.DUMMYFUNCTION("""COMPUTED_VALUE"""),"12*")</f>
        <v>12*</v>
      </c>
      <c r="O15" s="10">
        <f>IFERROR(__xludf.DUMMYFUNCTION("""COMPUTED_VALUE"""),22.0)</f>
        <v>22</v>
      </c>
      <c r="P15" s="10" t="str">
        <f>IFERROR(__xludf.DUMMYFUNCTION("""COMPUTED_VALUE"""),"4*")</f>
        <v>4*</v>
      </c>
      <c r="Q15" s="10" t="str">
        <f>IFERROR(__xludf.DUMMYFUNCTION("""COMPUTED_VALUE"""),"9*")</f>
        <v>9*</v>
      </c>
      <c r="R15" s="10" t="str">
        <f>IFERROR(__xludf.DUMMYFUNCTION("""COMPUTED_VALUE"""),"48*")</f>
        <v>48*</v>
      </c>
      <c r="S15" s="10" t="str">
        <f>IFERROR(__xludf.DUMMYFUNCTION("""COMPUTED_VALUE"""),"?")</f>
        <v>?</v>
      </c>
      <c r="T15" s="10" t="str">
        <f>IFERROR(__xludf.DUMMYFUNCTION("""COMPUTED_VALUE"""),"&gt;4800*")</f>
        <v>&gt;4800*</v>
      </c>
      <c r="U15" s="10" t="str">
        <f>IFERROR(__xludf.DUMMYFUNCTION("""COMPUTED_VALUE"""),"&gt;4800")</f>
        <v>&gt;4800</v>
      </c>
      <c r="V15" s="10">
        <f>IFERROR(__xludf.DUMMYFUNCTION("""COMPUTED_VALUE"""),8.0)</f>
        <v>8</v>
      </c>
      <c r="W15" s="10">
        <f>IFERROR(__xludf.DUMMYFUNCTION("""COMPUTED_VALUE"""),1.0)</f>
        <v>1</v>
      </c>
      <c r="X15" s="10" t="str">
        <f>IFERROR(__xludf.DUMMYFUNCTION("""COMPUTED_VALUE"""),"Oui")</f>
        <v>Oui</v>
      </c>
      <c r="Y15" s="10"/>
      <c r="Z15" s="10"/>
      <c r="AA15" s="10"/>
      <c r="AB15" s="10"/>
      <c r="AC15" s="10"/>
      <c r="AD15" s="10"/>
      <c r="AE15" s="10"/>
      <c r="AF15" s="10"/>
      <c r="AG15" s="10"/>
      <c r="AH15" s="10"/>
    </row>
    <row r="16">
      <c r="A16" s="10">
        <f>IFERROR(__xludf.DUMMYFUNCTION("""COMPUTED_VALUE"""),104.0)</f>
        <v>104</v>
      </c>
      <c r="B16" s="10" t="str">
        <f>IFERROR(__xludf.DUMMYFUNCTION("""COMPUTED_VALUE"""),"Banshee")</f>
        <v>Banshee</v>
      </c>
      <c r="C16" s="10" t="str">
        <f>IFERROR(__xludf.DUMMYFUNCTION("""COMPUTED_VALUE"""),"Mort-Vivant")</f>
        <v>Mort-Vivant</v>
      </c>
      <c r="D16" s="10">
        <f>IFERROR(__xludf.DUMMYFUNCTION("""COMPUTED_VALUE"""),16.0)</f>
        <v>16</v>
      </c>
      <c r="E16" s="10">
        <f>IFERROR(__xludf.DUMMYFUNCTION("""COMPUTED_VALUE"""),1.0)</f>
        <v>1</v>
      </c>
      <c r="F16" s="10" t="str">
        <f>IFERROR(__xludf.DUMMYFUNCTION("""COMPUTED_VALUE"""),"Non")</f>
        <v>Non</v>
      </c>
      <c r="G16" s="10" t="str">
        <f>IFERROR(__xludf.DUMMYFUNCTION("""COMPUTED_VALUE"""),"Non")</f>
        <v>Non</v>
      </c>
      <c r="H16" s="10" t="str">
        <f>IFERROR(__xludf.DUMMYFUNCTION("""COMPUTED_VALUE"""),"Rapide")</f>
        <v>Rapide</v>
      </c>
      <c r="I16" s="10" t="str">
        <f>IFERROR(__xludf.DUMMYFUNCTION("""COMPUTED_VALUE"""),"Oui")</f>
        <v>Oui</v>
      </c>
      <c r="J16" s="10" t="str">
        <f>IFERROR(__xludf.DUMMYFUNCTION("""COMPUTED_VALUE"""),"Charme - Zone")</f>
        <v>Charme - Zone</v>
      </c>
      <c r="K16" s="10" t="str">
        <f>IFERROR(__xludf.DUMMYFUNCTION("""COMPUTED_VALUE"""),"-")</f>
        <v>-</v>
      </c>
      <c r="L16" s="10" t="str">
        <f>IFERROR(__xludf.DUMMYFUNCTION("""COMPUTED_VALUE"""),"105 ±35")</f>
        <v>105 ±35</v>
      </c>
      <c r="M16" s="10" t="str">
        <f>IFERROR(__xludf.DUMMYFUNCTION("""COMPUTED_VALUE"""),"9 ±3")</f>
        <v>9 ±3</v>
      </c>
      <c r="N16" s="10" t="str">
        <f>IFERROR(__xludf.DUMMYFUNCTION("""COMPUTED_VALUE"""),"12 ±4")</f>
        <v>12 ±4</v>
      </c>
      <c r="O16" s="10" t="str">
        <f>IFERROR(__xludf.DUMMYFUNCTION("""COMPUTED_VALUE"""),"6 ±3")</f>
        <v>6 ±3</v>
      </c>
      <c r="P16" s="10" t="str">
        <f>IFERROR(__xludf.DUMMYFUNCTION("""COMPUTED_VALUE"""),"4 ±3")</f>
        <v>4 ±3</v>
      </c>
      <c r="Q16" s="10" t="str">
        <f>IFERROR(__xludf.DUMMYFUNCTION("""COMPUTED_VALUE"""),"2 ±1")</f>
        <v>2 ±1</v>
      </c>
      <c r="R16" s="10" t="str">
        <f>IFERROR(__xludf.DUMMYFUNCTION("""COMPUTED_VALUE"""),"5 ±3")</f>
        <v>5 ±3</v>
      </c>
      <c r="S16" s="10" t="str">
        <f>IFERROR(__xludf.DUMMYFUNCTION("""COMPUTED_VALUE"""),"")</f>
        <v/>
      </c>
      <c r="T16" s="10" t="str">
        <f>IFERROR(__xludf.DUMMYFUNCTION("""COMPUTED_VALUE"""),"800 ±400")</f>
        <v>800 ±400</v>
      </c>
      <c r="U16" s="10" t="str">
        <f>IFERROR(__xludf.DUMMYFUNCTION("""COMPUTED_VALUE"""),"300 ±300")</f>
        <v>300 ±300</v>
      </c>
      <c r="V16" s="10" t="str">
        <f>IFERROR(__xludf.DUMMYFUNCTION("""COMPUTED_VALUE"""),"11 ±3")</f>
        <v>11 ±3</v>
      </c>
      <c r="W16" s="10">
        <f>IFERROR(__xludf.DUMMYFUNCTION("""COMPUTED_VALUE"""),73.0)</f>
        <v>73</v>
      </c>
      <c r="X16" s="10" t="str">
        <f>IFERROR(__xludf.DUMMYFUNCTION("""COMPUTED_VALUE"""),"Oui")</f>
        <v>Oui</v>
      </c>
      <c r="Y16" s="10"/>
      <c r="Z16" s="10"/>
      <c r="AA16" s="10"/>
      <c r="AB16" s="10"/>
      <c r="AC16" s="10"/>
      <c r="AD16" s="10"/>
      <c r="AE16" s="10"/>
      <c r="AF16" s="10"/>
      <c r="AG16" s="10"/>
      <c r="AH16" s="10"/>
    </row>
    <row r="17">
      <c r="A17" s="10" t="str">
        <f>IFERROR(__xludf.DUMMYFUNCTION("""COMPUTED_VALUE"""),"*Id*")</f>
        <v>*Id*</v>
      </c>
      <c r="B17" s="10" t="str">
        <f>IFERROR(__xludf.DUMMYFUNCTION("""COMPUTED_VALUE"""),"*Nom*")</f>
        <v>*Nom*</v>
      </c>
      <c r="C17" s="10" t="str">
        <f>IFERROR(__xludf.DUMMYFUNCTION("""COMPUTED_VALUE"""),"*Famille*")</f>
        <v>*Famille*</v>
      </c>
      <c r="D17" s="10" t="str">
        <f>IFERROR(__xludf.DUMMYFUNCTION("""COMPUTED_VALUE"""),"*Niv*")</f>
        <v>*Niv*</v>
      </c>
      <c r="E17" s="10" t="str">
        <f>IFERROR(__xludf.DUMMYFUNCTION("""COMPUTED_VALUE"""),"*Nb att*")</f>
        <v>*Nb att*</v>
      </c>
      <c r="F17" s="10" t="str">
        <f>IFERROR(__xludf.DUMMYFUNCTION("""COMPUTED_VALUE"""),"*Att mag*")</f>
        <v>*Att mag*</v>
      </c>
      <c r="G17" s="10" t="str">
        <f>IFERROR(__xludf.DUMMYFUNCTION("""COMPUTED_VALUE"""),"*Att dist*")</f>
        <v>*Att dist*</v>
      </c>
      <c r="H17" s="10" t="str">
        <f>IFERROR(__xludf.DUMMYFUNCTION("""COMPUTED_VALUE"""),"*Vit*")</f>
        <v>*Vit*</v>
      </c>
      <c r="I17" s="10" t="str">
        <f>IFERROR(__xludf.DUMMYFUNCTION("""COMPUTED_VALUE"""),"*VlC*")</f>
        <v>*VlC*</v>
      </c>
      <c r="J17" s="10" t="str">
        <f>IFERROR(__xludf.DUMMYFUNCTION("""COMPUTED_VALUE"""),"*Pouvoir 1*")</f>
        <v>*Pouvoir 1*</v>
      </c>
      <c r="K17" s="10" t="str">
        <f>IFERROR(__xludf.DUMMYFUNCTION("""COMPUTED_VALUE"""),"*Pouvoir 2*")</f>
        <v>*Pouvoir 2*</v>
      </c>
      <c r="L17" s="10" t="str">
        <f>IFERROR(__xludf.DUMMYFUNCTION("""COMPUTED_VALUE"""),"*PV*")</f>
        <v>*PV*</v>
      </c>
      <c r="M17" s="10" t="str">
        <f>IFERROR(__xludf.DUMMYFUNCTION("""COMPUTED_VALUE"""),"*Att*")</f>
        <v>*Att*</v>
      </c>
      <c r="N17" s="10" t="str">
        <f>IFERROR(__xludf.DUMMYFUNCTION("""COMPUTED_VALUE"""),"*Esq*")</f>
        <v>*Esq*</v>
      </c>
      <c r="O17" s="10" t="str">
        <f>IFERROR(__xludf.DUMMYFUNCTION("""COMPUTED_VALUE"""),"*Dégât*")</f>
        <v>*Dégât*</v>
      </c>
      <c r="P17" s="10" t="str">
        <f>IFERROR(__xludf.DUMMYFUNCTION("""COMPUTED_VALUE"""),"*Vue*")</f>
        <v>*Vue*</v>
      </c>
      <c r="Q17" s="10" t="str">
        <f>IFERROR(__xludf.DUMMYFUNCTION("""COMPUTED_VALUE"""),"*Régen*")</f>
        <v>*Régen*</v>
      </c>
      <c r="R17" s="10" t="str">
        <f>IFERROR(__xludf.DUMMYFUNCTION("""COMPUTED_VALUE"""),"*Arm phy*")</f>
        <v>*Arm phy*</v>
      </c>
      <c r="S17" s="10" t="str">
        <f>IFERROR(__xludf.DUMMYFUNCTION("""COMPUTED_VALUE"""),"*Arm mag*")</f>
        <v>*Arm mag*</v>
      </c>
      <c r="T17" s="10" t="str">
        <f>IFERROR(__xludf.DUMMYFUNCTION("""COMPUTED_VALUE"""),"*MM*")</f>
        <v>*MM*</v>
      </c>
      <c r="U17" s="10" t="str">
        <f>IFERROR(__xludf.DUMMYFUNCTION("""COMPUTED_VALUE"""),"*RM*")</f>
        <v>*RM*</v>
      </c>
      <c r="V17" s="10" t="str">
        <f>IFERROR(__xludf.DUMMYFUNCTION("""COMPUTED_VALUE"""),"*DLA*")</f>
        <v>*DLA*</v>
      </c>
      <c r="W17" s="10" t="str">
        <f>IFERROR(__xludf.DUMMYFUNCTION("""COMPUTED_VALUE"""),"*Echant*")</f>
        <v>*Echant*</v>
      </c>
      <c r="X17" s="10" t="str">
        <f>IFERROR(__xludf.DUMMYFUNCTION("""COMPUTED_VALUE"""),"*Vole*")</f>
        <v>*Vole*</v>
      </c>
      <c r="Y17" s="10"/>
      <c r="Z17" s="10"/>
      <c r="AA17" s="10"/>
      <c r="AB17" s="10"/>
      <c r="AC17" s="10"/>
      <c r="AD17" s="10"/>
      <c r="AE17" s="10"/>
      <c r="AF17" s="10"/>
      <c r="AG17" s="10"/>
      <c r="AH17" s="10"/>
    </row>
    <row r="18">
      <c r="A18" s="10">
        <f>IFERROR(__xludf.DUMMYFUNCTION("""COMPUTED_VALUE"""),146.0)</f>
        <v>146</v>
      </c>
      <c r="B18" s="10" t="str">
        <f>IFERROR(__xludf.DUMMYFUNCTION("""COMPUTED_VALUE"""),"Barghest")</f>
        <v>Barghest</v>
      </c>
      <c r="C18" s="10" t="str">
        <f>IFERROR(__xludf.DUMMYFUNCTION("""COMPUTED_VALUE"""),"Démon")</f>
        <v>Démon</v>
      </c>
      <c r="D18" s="10">
        <f>IFERROR(__xludf.DUMMYFUNCTION("""COMPUTED_VALUE"""),36.0)</f>
        <v>36</v>
      </c>
      <c r="E18" s="10">
        <f>IFERROR(__xludf.DUMMYFUNCTION("""COMPUTED_VALUE"""),2.0)</f>
        <v>2</v>
      </c>
      <c r="F18" s="10" t="str">
        <f>IFERROR(__xludf.DUMMYFUNCTION("""COMPUTED_VALUE"""),"Non")</f>
        <v>Non</v>
      </c>
      <c r="G18" s="10" t="str">
        <f>IFERROR(__xludf.DUMMYFUNCTION("""COMPUTED_VALUE"""),"Non")</f>
        <v>Non</v>
      </c>
      <c r="H18" s="10" t="str">
        <f>IFERROR(__xludf.DUMMYFUNCTION("""COMPUTED_VALUE"""),"Normale")</f>
        <v>Normale</v>
      </c>
      <c r="I18" s="10" t="str">
        <f>IFERROR(__xludf.DUMMYFUNCTION("""COMPUTED_VALUE"""),"Oui")</f>
        <v>Oui</v>
      </c>
      <c r="J18" s="10" t="str">
        <f>IFERROR(__xludf.DUMMYFUNCTION("""COMPUTED_VALUE"""),"Pétrification - Zone")</f>
        <v>Pétrification - Zone</v>
      </c>
      <c r="K18" s="10" t="str">
        <f>IFERROR(__xludf.DUMMYFUNCTION("""COMPUTED_VALUE"""),"-")</f>
        <v>-</v>
      </c>
      <c r="L18" s="10" t="str">
        <f>IFERROR(__xludf.DUMMYFUNCTION("""COMPUTED_VALUE"""),"110 ±35")</f>
        <v>110 ±35</v>
      </c>
      <c r="M18" s="10" t="str">
        <f>IFERROR(__xludf.DUMMYFUNCTION("""COMPUTED_VALUE"""),"14 ±4")</f>
        <v>14 ±4</v>
      </c>
      <c r="N18" s="10" t="str">
        <f>IFERROR(__xludf.DUMMYFUNCTION("""COMPUTED_VALUE"""),"16 ±4")</f>
        <v>16 ±4</v>
      </c>
      <c r="O18" s="10" t="str">
        <f>IFERROR(__xludf.DUMMYFUNCTION("""COMPUTED_VALUE"""),"12 ±4")</f>
        <v>12 ±4</v>
      </c>
      <c r="P18" s="10" t="str">
        <f>IFERROR(__xludf.DUMMYFUNCTION("""COMPUTED_VALUE"""),"6 ±3")</f>
        <v>6 ±3</v>
      </c>
      <c r="Q18" s="10" t="str">
        <f>IFERROR(__xludf.DUMMYFUNCTION("""COMPUTED_VALUE"""),"2 ±1")</f>
        <v>2 ±1</v>
      </c>
      <c r="R18" s="10" t="str">
        <f>IFERROR(__xludf.DUMMYFUNCTION("""COMPUTED_VALUE"""),"15 ±4")</f>
        <v>15 ±4</v>
      </c>
      <c r="S18" s="10">
        <f>IFERROR(__xludf.DUMMYFUNCTION("""COMPUTED_VALUE"""),11.0)</f>
        <v>11</v>
      </c>
      <c r="T18" s="10" t="str">
        <f>IFERROR(__xludf.DUMMYFUNCTION("""COMPUTED_VALUE"""),"3000 ±700")</f>
        <v>3000 ±700</v>
      </c>
      <c r="U18" s="10" t="str">
        <f>IFERROR(__xludf.DUMMYFUNCTION("""COMPUTED_VALUE"""),"300 ±200")</f>
        <v>300 ±200</v>
      </c>
      <c r="V18" s="10" t="str">
        <f>IFERROR(__xludf.DUMMYFUNCTION("""COMPUTED_VALUE"""),"8 ±3")</f>
        <v>8 ±3</v>
      </c>
      <c r="W18" s="10">
        <f>IFERROR(__xludf.DUMMYFUNCTION("""COMPUTED_VALUE"""),81.0)</f>
        <v>81</v>
      </c>
      <c r="X18" s="10" t="str">
        <f>IFERROR(__xludf.DUMMYFUNCTION("""COMPUTED_VALUE"""),"Non")</f>
        <v>Non</v>
      </c>
      <c r="Y18" s="10"/>
      <c r="Z18" s="10"/>
      <c r="AA18" s="10"/>
      <c r="AB18" s="10"/>
      <c r="AC18" s="10"/>
      <c r="AD18" s="10"/>
      <c r="AE18" s="10"/>
      <c r="AF18" s="10"/>
      <c r="AG18" s="10"/>
      <c r="AH18" s="10"/>
    </row>
    <row r="19">
      <c r="A19" s="10">
        <f>IFERROR(__xludf.DUMMYFUNCTION("""COMPUTED_VALUE"""),76.0)</f>
        <v>76</v>
      </c>
      <c r="B19" s="10" t="str">
        <f>IFERROR(__xludf.DUMMYFUNCTION("""COMPUTED_VALUE"""),"Basilisk")</f>
        <v>Basilisk</v>
      </c>
      <c r="C19" s="10" t="str">
        <f>IFERROR(__xludf.DUMMYFUNCTION("""COMPUTED_VALUE"""),"Monstre")</f>
        <v>Monstre</v>
      </c>
      <c r="D19" s="10">
        <f>IFERROR(__xludf.DUMMYFUNCTION("""COMPUTED_VALUE"""),11.0)</f>
        <v>11</v>
      </c>
      <c r="E19" s="10">
        <f>IFERROR(__xludf.DUMMYFUNCTION("""COMPUTED_VALUE"""),1.0)</f>
        <v>1</v>
      </c>
      <c r="F19" s="10" t="str">
        <f>IFERROR(__xludf.DUMMYFUNCTION("""COMPUTED_VALUE"""),"")</f>
        <v/>
      </c>
      <c r="G19" s="10" t="str">
        <f>IFERROR(__xludf.DUMMYFUNCTION("""COMPUTED_VALUE"""),"Non")</f>
        <v>Non</v>
      </c>
      <c r="H19" s="10" t="str">
        <f>IFERROR(__xludf.DUMMYFUNCTION("""COMPUTED_VALUE"""),"Normale")</f>
        <v>Normale</v>
      </c>
      <c r="I19" s="10" t="str">
        <f>IFERROR(__xludf.DUMMYFUNCTION("""COMPUTED_VALUE"""),"Non")</f>
        <v>Non</v>
      </c>
      <c r="J19" s="10" t="str">
        <f>IFERROR(__xludf.DUMMYFUNCTION("""COMPUTED_VALUE"""),"Pétrification - Zone")</f>
        <v>Pétrification - Zone</v>
      </c>
      <c r="K19" s="10" t="str">
        <f>IFERROR(__xludf.DUMMYFUNCTION("""COMPUTED_VALUE"""),"-")</f>
        <v>-</v>
      </c>
      <c r="L19" s="10" t="str">
        <f>IFERROR(__xludf.DUMMYFUNCTION("""COMPUTED_VALUE"""),"90 ±35")</f>
        <v>90 ±35</v>
      </c>
      <c r="M19" s="10" t="str">
        <f>IFERROR(__xludf.DUMMYFUNCTION("""COMPUTED_VALUE"""),"8 ±3")</f>
        <v>8 ±3</v>
      </c>
      <c r="N19" s="10" t="str">
        <f>IFERROR(__xludf.DUMMYFUNCTION("""COMPUTED_VALUE"""),"4 ±2")</f>
        <v>4 ±2</v>
      </c>
      <c r="O19" s="10" t="str">
        <f>IFERROR(__xludf.DUMMYFUNCTION("""COMPUTED_VALUE"""),"8 ±3")</f>
        <v>8 ±3</v>
      </c>
      <c r="P19" s="10" t="str">
        <f>IFERROR(__xludf.DUMMYFUNCTION("""COMPUTED_VALUE"""),"3 ±2")</f>
        <v>3 ±2</v>
      </c>
      <c r="Q19" s="10" t="str">
        <f>IFERROR(__xludf.DUMMYFUNCTION("""COMPUTED_VALUE"""),"3 ±1")</f>
        <v>3 ±1</v>
      </c>
      <c r="R19" s="10" t="str">
        <f>IFERROR(__xludf.DUMMYFUNCTION("""COMPUTED_VALUE"""),"8 ±3")</f>
        <v>8 ±3</v>
      </c>
      <c r="S19" s="10">
        <f>IFERROR(__xludf.DUMMYFUNCTION("""COMPUTED_VALUE"""),2.0)</f>
        <v>2</v>
      </c>
      <c r="T19" s="10" t="str">
        <f>IFERROR(__xludf.DUMMYFUNCTION("""COMPUTED_VALUE"""),"300 ±300")</f>
        <v>300 ±300</v>
      </c>
      <c r="U19" s="10" t="str">
        <f>IFERROR(__xludf.DUMMYFUNCTION("""COMPUTED_VALUE"""),"100 ±100")</f>
        <v>100 ±100</v>
      </c>
      <c r="V19" s="10" t="str">
        <f>IFERROR(__xludf.DUMMYFUNCTION("""COMPUTED_VALUE"""),"12 ±4")</f>
        <v>12 ±4</v>
      </c>
      <c r="W19" s="10">
        <f>IFERROR(__xludf.DUMMYFUNCTION("""COMPUTED_VALUE"""),53.0)</f>
        <v>53</v>
      </c>
      <c r="X19" s="10" t="str">
        <f>IFERROR(__xludf.DUMMYFUNCTION("""COMPUTED_VALUE"""),"Non")</f>
        <v>Non</v>
      </c>
      <c r="Y19" s="10"/>
      <c r="Z19" s="10"/>
      <c r="AA19" s="10"/>
      <c r="AB19" s="10"/>
      <c r="AC19" s="10"/>
      <c r="AD19" s="10"/>
      <c r="AE19" s="10"/>
      <c r="AF19" s="10"/>
      <c r="AG19" s="10"/>
      <c r="AH19" s="10"/>
    </row>
    <row r="20">
      <c r="A20" s="10">
        <f>IFERROR(__xludf.DUMMYFUNCTION("""COMPUTED_VALUE"""),139.0)</f>
        <v>139</v>
      </c>
      <c r="B20" s="10" t="str">
        <f>IFERROR(__xludf.DUMMYFUNCTION("""COMPUTED_VALUE"""),"Behemoth")</f>
        <v>Behemoth</v>
      </c>
      <c r="C20" s="10" t="str">
        <f>IFERROR(__xludf.DUMMYFUNCTION("""COMPUTED_VALUE"""),"Démon")</f>
        <v>Démon</v>
      </c>
      <c r="D20" s="10">
        <f>IFERROR(__xludf.DUMMYFUNCTION("""COMPUTED_VALUE"""),34.0)</f>
        <v>34</v>
      </c>
      <c r="E20" s="10">
        <f>IFERROR(__xludf.DUMMYFUNCTION("""COMPUTED_VALUE"""),1.0)</f>
        <v>1</v>
      </c>
      <c r="F20" s="10" t="str">
        <f>IFERROR(__xludf.DUMMYFUNCTION("""COMPUTED_VALUE"""),"Non")</f>
        <v>Non</v>
      </c>
      <c r="G20" s="10" t="str">
        <f>IFERROR(__xludf.DUMMYFUNCTION("""COMPUTED_VALUE"""),"Non")</f>
        <v>Non</v>
      </c>
      <c r="H20" s="10" t="str">
        <f>IFERROR(__xludf.DUMMYFUNCTION("""COMPUTED_VALUE"""),"Lente")</f>
        <v>Lente</v>
      </c>
      <c r="I20" s="10" t="str">
        <f>IFERROR(__xludf.DUMMYFUNCTION("""COMPUTED_VALUE"""),"Oui")</f>
        <v>Oui</v>
      </c>
      <c r="J20" s="10" t="str">
        <f>IFERROR(__xludf.DUMMYFUNCTION("""COMPUTED_VALUE"""),"-")</f>
        <v>-</v>
      </c>
      <c r="K20" s="10" t="str">
        <f>IFERROR(__xludf.DUMMYFUNCTION("""COMPUTED_VALUE"""),"-")</f>
        <v>-</v>
      </c>
      <c r="L20" s="10" t="str">
        <f>IFERROR(__xludf.DUMMYFUNCTION("""COMPUTED_VALUE"""),"275 ±70")</f>
        <v>275 ±70</v>
      </c>
      <c r="M20" s="10" t="str">
        <f>IFERROR(__xludf.DUMMYFUNCTION("""COMPUTED_VALUE"""),"18 ±4")</f>
        <v>18 ±4</v>
      </c>
      <c r="N20" s="10" t="str">
        <f>IFERROR(__xludf.DUMMYFUNCTION("""COMPUTED_VALUE"""),"8 ±3")</f>
        <v>8 ±3</v>
      </c>
      <c r="O20" s="10" t="str">
        <f>IFERROR(__xludf.DUMMYFUNCTION("""COMPUTED_VALUE"""),"17 ±4")</f>
        <v>17 ±4</v>
      </c>
      <c r="P20" s="10" t="str">
        <f>IFERROR(__xludf.DUMMYFUNCTION("""COMPUTED_VALUE"""),"5 ±3")</f>
        <v>5 ±3</v>
      </c>
      <c r="Q20" s="10" t="str">
        <f>IFERROR(__xludf.DUMMYFUNCTION("""COMPUTED_VALUE"""),"5 ±2")</f>
        <v>5 ±2</v>
      </c>
      <c r="R20" s="10" t="str">
        <f>IFERROR(__xludf.DUMMYFUNCTION("""COMPUTED_VALUE"""),"38 ±5")</f>
        <v>38 ±5</v>
      </c>
      <c r="S20" s="10">
        <f>IFERROR(__xludf.DUMMYFUNCTION("""COMPUTED_VALUE"""),12.0)</f>
        <v>12</v>
      </c>
      <c r="T20" s="10" t="str">
        <f>IFERROR(__xludf.DUMMYFUNCTION("""COMPUTED_VALUE"""),"200 ±300")</f>
        <v>200 ±300</v>
      </c>
      <c r="U20" s="10" t="str">
        <f>IFERROR(__xludf.DUMMYFUNCTION("""COMPUTED_VALUE"""),"200 ±300")</f>
        <v>200 ±300</v>
      </c>
      <c r="V20" s="10" t="str">
        <f>IFERROR(__xludf.DUMMYFUNCTION("""COMPUTED_VALUE"""),"11 ±3")</f>
        <v>11 ±3</v>
      </c>
      <c r="W20" s="10">
        <f>IFERROR(__xludf.DUMMYFUNCTION("""COMPUTED_VALUE"""),15.0)</f>
        <v>15</v>
      </c>
      <c r="X20" s="10" t="str">
        <f>IFERROR(__xludf.DUMMYFUNCTION("""COMPUTED_VALUE"""),"Non")</f>
        <v>Non</v>
      </c>
      <c r="Y20" s="10"/>
      <c r="Z20" s="10"/>
      <c r="AA20" s="10"/>
      <c r="AB20" s="10"/>
      <c r="AC20" s="10"/>
      <c r="AD20" s="10"/>
      <c r="AE20" s="10"/>
      <c r="AF20" s="10"/>
      <c r="AG20" s="10"/>
      <c r="AH20" s="10"/>
    </row>
    <row r="21">
      <c r="A21" s="10">
        <f>IFERROR(__xludf.DUMMYFUNCTION("""COMPUTED_VALUE"""),77.0)</f>
        <v>77</v>
      </c>
      <c r="B21" s="10" t="str">
        <f>IFERROR(__xludf.DUMMYFUNCTION("""COMPUTED_VALUE"""),"Béhir")</f>
        <v>Béhir</v>
      </c>
      <c r="C21" s="10" t="str">
        <f>IFERROR(__xludf.DUMMYFUNCTION("""COMPUTED_VALUE"""),"Monstre")</f>
        <v>Monstre</v>
      </c>
      <c r="D21" s="10">
        <f>IFERROR(__xludf.DUMMYFUNCTION("""COMPUTED_VALUE"""),14.0)</f>
        <v>14</v>
      </c>
      <c r="E21" s="10">
        <f>IFERROR(__xludf.DUMMYFUNCTION("""COMPUTED_VALUE"""),1.0)</f>
        <v>1</v>
      </c>
      <c r="F21" s="10" t="str">
        <f>IFERROR(__xludf.DUMMYFUNCTION("""COMPUTED_VALUE"""),"")</f>
        <v/>
      </c>
      <c r="G21" s="10" t="str">
        <f>IFERROR(__xludf.DUMMYFUNCTION("""COMPUTED_VALUE"""),"Non")</f>
        <v>Non</v>
      </c>
      <c r="H21" s="10" t="str">
        <f>IFERROR(__xludf.DUMMYFUNCTION("""COMPUTED_VALUE"""),"Normale")</f>
        <v>Normale</v>
      </c>
      <c r="I21" s="10" t="str">
        <f>IFERROR(__xludf.DUMMYFUNCTION("""COMPUTED_VALUE"""),"Non")</f>
        <v>Non</v>
      </c>
      <c r="J21" s="10" t="str">
        <f>IFERROR(__xludf.DUMMYFUNCTION("""COMPUTED_VALUE"""),"Constriction - Toucher")</f>
        <v>Constriction - Toucher</v>
      </c>
      <c r="K21" s="10" t="str">
        <f>IFERROR(__xludf.DUMMYFUNCTION("""COMPUTED_VALUE"""),"-")</f>
        <v>-</v>
      </c>
      <c r="L21" s="10" t="str">
        <f>IFERROR(__xludf.DUMMYFUNCTION("""COMPUTED_VALUE"""),"100 ±35")</f>
        <v>100 ±35</v>
      </c>
      <c r="M21" s="10" t="str">
        <f>IFERROR(__xludf.DUMMYFUNCTION("""COMPUTED_VALUE"""),"12 ±4")</f>
        <v>12 ±4</v>
      </c>
      <c r="N21" s="10" t="str">
        <f>IFERROR(__xludf.DUMMYFUNCTION("""COMPUTED_VALUE"""),"5 ±3")</f>
        <v>5 ±3</v>
      </c>
      <c r="O21" s="10" t="str">
        <f>IFERROR(__xludf.DUMMYFUNCTION("""COMPUTED_VALUE"""),"7 ±3")</f>
        <v>7 ±3</v>
      </c>
      <c r="P21" s="10" t="str">
        <f>IFERROR(__xludf.DUMMYFUNCTION("""COMPUTED_VALUE"""),"4 ±3")</f>
        <v>4 ±3</v>
      </c>
      <c r="Q21" s="10" t="str">
        <f>IFERROR(__xludf.DUMMYFUNCTION("""COMPUTED_VALUE"""),"2 ±1")</f>
        <v>2 ±1</v>
      </c>
      <c r="R21" s="10" t="str">
        <f>IFERROR(__xludf.DUMMYFUNCTION("""COMPUTED_VALUE"""),"8 ±3")</f>
        <v>8 ±3</v>
      </c>
      <c r="S21" s="10">
        <f>IFERROR(__xludf.DUMMYFUNCTION("""COMPUTED_VALUE"""),2.0)</f>
        <v>2</v>
      </c>
      <c r="T21" s="10" t="str">
        <f>IFERROR(__xludf.DUMMYFUNCTION("""COMPUTED_VALUE"""),"600 ±300")</f>
        <v>600 ±300</v>
      </c>
      <c r="U21" s="10" t="str">
        <f>IFERROR(__xludf.DUMMYFUNCTION("""COMPUTED_VALUE"""),"400 ±300")</f>
        <v>400 ±300</v>
      </c>
      <c r="V21" s="10" t="str">
        <f>IFERROR(__xludf.DUMMYFUNCTION("""COMPUTED_VALUE"""),"13 ±4")</f>
        <v>13 ±4</v>
      </c>
      <c r="W21" s="10">
        <f>IFERROR(__xludf.DUMMYFUNCTION("""COMPUTED_VALUE"""),62.0)</f>
        <v>62</v>
      </c>
      <c r="X21" s="10" t="str">
        <f>IFERROR(__xludf.DUMMYFUNCTION("""COMPUTED_VALUE"""),"Non")</f>
        <v>Non</v>
      </c>
      <c r="Y21" s="10"/>
      <c r="Z21" s="10"/>
      <c r="AA21" s="10"/>
      <c r="AB21" s="10"/>
      <c r="AC21" s="10"/>
      <c r="AD21" s="10"/>
      <c r="AE21" s="10"/>
      <c r="AF21" s="10"/>
      <c r="AG21" s="10"/>
      <c r="AH21" s="10"/>
    </row>
    <row r="22">
      <c r="A22" s="10" t="str">
        <f>IFERROR(__xludf.DUMMYFUNCTION("""COMPUTED_VALUE"""),"")</f>
        <v/>
      </c>
      <c r="B22" s="10" t="str">
        <f>IFERROR(__xludf.DUMMYFUNCTION("""COMPUTED_VALUE"""),"Beholder")</f>
        <v>Beholder</v>
      </c>
      <c r="C22" s="10" t="str">
        <f>IFERROR(__xludf.DUMMYFUNCTION("""COMPUTED_VALUE"""),"Monstre")</f>
        <v>Monstre</v>
      </c>
      <c r="D22" s="10">
        <f>IFERROR(__xludf.DUMMYFUNCTION("""COMPUTED_VALUE"""),50.0)</f>
        <v>50</v>
      </c>
      <c r="E22" s="10">
        <f>IFERROR(__xludf.DUMMYFUNCTION("""COMPUTED_VALUE"""),2.0)</f>
        <v>2</v>
      </c>
      <c r="F22" s="10" t="str">
        <f>IFERROR(__xludf.DUMMYFUNCTION("""COMPUTED_VALUE"""),"Oui")</f>
        <v>Oui</v>
      </c>
      <c r="G22" s="10" t="str">
        <f>IFERROR(__xludf.DUMMYFUNCTION("""COMPUTED_VALUE"""),"Oui")</f>
        <v>Oui</v>
      </c>
      <c r="H22" s="10" t="str">
        <f>IFERROR(__xludf.DUMMYFUNCTION("""COMPUTED_VALUE"""),"Rapide")</f>
        <v>Rapide</v>
      </c>
      <c r="I22" s="10" t="str">
        <f>IFERROR(__xludf.DUMMYFUNCTION("""COMPUTED_VALUE"""),"Oui")</f>
        <v>Oui</v>
      </c>
      <c r="J22" s="10" t="str">
        <f>IFERROR(__xludf.DUMMYFUNCTION("""COMPUTED_VALUE"""),"Regard magique")</f>
        <v>Regard magique</v>
      </c>
      <c r="K22" s="10" t="str">
        <f>IFERROR(__xludf.DUMMYFUNCTION("""COMPUTED_VALUE"""),"Malédiction de l'Oeil?")</f>
        <v>Malédiction de l'Oeil?</v>
      </c>
      <c r="L22" s="10" t="str">
        <f>IFERROR(__xludf.DUMMYFUNCTION("""COMPUTED_VALUE"""),"480*")</f>
        <v>480*</v>
      </c>
      <c r="M22" s="10" t="str">
        <f>IFERROR(__xludf.DUMMYFUNCTION("""COMPUTED_VALUE"""),"28*")</f>
        <v>28*</v>
      </c>
      <c r="N22" s="10" t="str">
        <f>IFERROR(__xludf.DUMMYFUNCTION("""COMPUTED_VALUE"""),"28*")</f>
        <v>28*</v>
      </c>
      <c r="O22" s="10">
        <f>IFERROR(__xludf.DUMMYFUNCTION("""COMPUTED_VALUE"""),10.0)</f>
        <v>10</v>
      </c>
      <c r="P22" s="10">
        <f>IFERROR(__xludf.DUMMYFUNCTION("""COMPUTED_VALUE"""),12.0)</f>
        <v>12</v>
      </c>
      <c r="Q22" s="10">
        <f>IFERROR(__xludf.DUMMYFUNCTION("""COMPUTED_VALUE"""),7.0)</f>
        <v>7</v>
      </c>
      <c r="R22" s="10">
        <f>IFERROR(__xludf.DUMMYFUNCTION("""COMPUTED_VALUE"""),25.0)</f>
        <v>25</v>
      </c>
      <c r="S22" s="10">
        <f>IFERROR(__xludf.DUMMYFUNCTION("""COMPUTED_VALUE"""),4.0)</f>
        <v>4</v>
      </c>
      <c r="T22" s="10">
        <f>IFERROR(__xludf.DUMMYFUNCTION("""COMPUTED_VALUE"""),5400.0)</f>
        <v>5400</v>
      </c>
      <c r="U22" s="10" t="str">
        <f>IFERROR(__xludf.DUMMYFUNCTION("""COMPUTED_VALUE"""),"&gt;6000")</f>
        <v>&gt;6000</v>
      </c>
      <c r="V22" s="10">
        <f>IFERROR(__xludf.DUMMYFUNCTION("""COMPUTED_VALUE"""),8.0)</f>
        <v>8</v>
      </c>
      <c r="W22" s="10">
        <f>IFERROR(__xludf.DUMMYFUNCTION("""COMPUTED_VALUE"""),1.0)</f>
        <v>1</v>
      </c>
      <c r="X22" s="10" t="str">
        <f>IFERROR(__xludf.DUMMYFUNCTION("""COMPUTED_VALUE"""),"Non")</f>
        <v>Non</v>
      </c>
      <c r="Y22" s="10"/>
      <c r="Z22" s="10"/>
      <c r="AA22" s="10"/>
      <c r="AB22" s="10"/>
      <c r="AC22" s="10"/>
      <c r="AD22" s="10"/>
      <c r="AE22" s="10"/>
      <c r="AF22" s="10"/>
      <c r="AG22" s="10"/>
      <c r="AH22" s="10"/>
    </row>
    <row r="23">
      <c r="A23" s="10">
        <f>IFERROR(__xludf.DUMMYFUNCTION("""COMPUTED_VALUE"""),158.0)</f>
        <v>158</v>
      </c>
      <c r="B23" s="10" t="str">
        <f>IFERROR(__xludf.DUMMYFUNCTION("""COMPUTED_VALUE"""),"Boggart")</f>
        <v>Boggart</v>
      </c>
      <c r="C23" s="10" t="str">
        <f>IFERROR(__xludf.DUMMYFUNCTION("""COMPUTED_VALUE"""),"Humanoïde")</f>
        <v>Humanoïde</v>
      </c>
      <c r="D23" s="10">
        <f>IFERROR(__xludf.DUMMYFUNCTION("""COMPUTED_VALUE"""),3.0)</f>
        <v>3</v>
      </c>
      <c r="E23" s="10">
        <f>IFERROR(__xludf.DUMMYFUNCTION("""COMPUTED_VALUE"""),1.0)</f>
        <v>1</v>
      </c>
      <c r="F23" s="10" t="str">
        <f>IFERROR(__xludf.DUMMYFUNCTION("""COMPUTED_VALUE"""),"")</f>
        <v/>
      </c>
      <c r="G23" s="10" t="str">
        <f>IFERROR(__xludf.DUMMYFUNCTION("""COMPUTED_VALUE"""),"Non")</f>
        <v>Non</v>
      </c>
      <c r="H23" s="10" t="str">
        <f>IFERROR(__xludf.DUMMYFUNCTION("""COMPUTED_VALUE"""),"Rapide")</f>
        <v>Rapide</v>
      </c>
      <c r="I23" s="10" t="str">
        <f>IFERROR(__xludf.DUMMYFUNCTION("""COMPUTED_VALUE"""),"Non")</f>
        <v>Non</v>
      </c>
      <c r="J23" s="10" t="str">
        <f>IFERROR(__xludf.DUMMYFUNCTION("""COMPUTED_VALUE"""),"-")</f>
        <v>-</v>
      </c>
      <c r="K23" s="10" t="str">
        <f>IFERROR(__xludf.DUMMYFUNCTION("""COMPUTED_VALUE"""),"-")</f>
        <v>-</v>
      </c>
      <c r="L23" s="10" t="str">
        <f>IFERROR(__xludf.DUMMYFUNCTION("""COMPUTED_VALUE"""),"40 ±30")</f>
        <v>40 ±30</v>
      </c>
      <c r="M23" s="10" t="str">
        <f>IFERROR(__xludf.DUMMYFUNCTION("""COMPUTED_VALUE"""),"3 ±2")</f>
        <v>3 ±2</v>
      </c>
      <c r="N23" s="10" t="str">
        <f>IFERROR(__xludf.DUMMYFUNCTION("""COMPUTED_VALUE"""),"6 ±3")</f>
        <v>6 ±3</v>
      </c>
      <c r="O23" s="10" t="str">
        <f>IFERROR(__xludf.DUMMYFUNCTION("""COMPUTED_VALUE"""),"3 ±2")</f>
        <v>3 ±2</v>
      </c>
      <c r="P23" s="10" t="str">
        <f>IFERROR(__xludf.DUMMYFUNCTION("""COMPUTED_VALUE"""),"4 ±3")</f>
        <v>4 ±3</v>
      </c>
      <c r="Q23" s="10" t="str">
        <f>IFERROR(__xludf.DUMMYFUNCTION("""COMPUTED_VALUE"""),"1 ±1")</f>
        <v>1 ±1</v>
      </c>
      <c r="R23" s="10" t="str">
        <f>IFERROR(__xludf.DUMMYFUNCTION("""COMPUTED_VALUE"""),"1 ±2")</f>
        <v>1 ±2</v>
      </c>
      <c r="S23" s="10" t="str">
        <f>IFERROR(__xludf.DUMMYFUNCTION("""COMPUTED_VALUE"""),"")</f>
        <v/>
      </c>
      <c r="T23" s="10" t="str">
        <f>IFERROR(__xludf.DUMMYFUNCTION("""COMPUTED_VALUE"""),"0 ±200")</f>
        <v>0 ±200</v>
      </c>
      <c r="U23" s="10" t="str">
        <f>IFERROR(__xludf.DUMMYFUNCTION("""COMPUTED_VALUE"""),"100 ±100")</f>
        <v>100 ±100</v>
      </c>
      <c r="V23" s="10" t="str">
        <f>IFERROR(__xludf.DUMMYFUNCTION("""COMPUTED_VALUE"""),"12 ±5")</f>
        <v>12 ±5</v>
      </c>
      <c r="W23" s="10">
        <f>IFERROR(__xludf.DUMMYFUNCTION("""COMPUTED_VALUE"""),24.0)</f>
        <v>24</v>
      </c>
      <c r="X23" s="10" t="str">
        <f>IFERROR(__xludf.DUMMYFUNCTION("""COMPUTED_VALUE"""),"Non")</f>
        <v>Non</v>
      </c>
      <c r="Y23" s="10"/>
      <c r="Z23" s="10"/>
      <c r="AA23" s="10"/>
      <c r="AB23" s="10"/>
      <c r="AC23" s="10"/>
      <c r="AD23" s="10"/>
      <c r="AE23" s="10"/>
      <c r="AF23" s="10"/>
      <c r="AG23" s="10"/>
      <c r="AH23" s="10"/>
    </row>
    <row r="24">
      <c r="A24" s="10">
        <f>IFERROR(__xludf.DUMMYFUNCTION("""COMPUTED_VALUE"""),164.0)</f>
        <v>164</v>
      </c>
      <c r="B24" s="10" t="str">
        <f>IFERROR(__xludf.DUMMYFUNCTION("""COMPUTED_VALUE"""),"Bondin")</f>
        <v>Bondin</v>
      </c>
      <c r="C24" s="10" t="str">
        <f>IFERROR(__xludf.DUMMYFUNCTION("""COMPUTED_VALUE"""),"Monstre")</f>
        <v>Monstre</v>
      </c>
      <c r="D24" s="10">
        <f>IFERROR(__xludf.DUMMYFUNCTION("""COMPUTED_VALUE"""),9.0)</f>
        <v>9</v>
      </c>
      <c r="E24" s="10">
        <f>IFERROR(__xludf.DUMMYFUNCTION("""COMPUTED_VALUE"""),1.0)</f>
        <v>1</v>
      </c>
      <c r="F24" s="10" t="str">
        <f>IFERROR(__xludf.DUMMYFUNCTION("""COMPUTED_VALUE"""),"Non")</f>
        <v>Non</v>
      </c>
      <c r="G24" s="10" t="str">
        <f>IFERROR(__xludf.DUMMYFUNCTION("""COMPUTED_VALUE"""),"Non")</f>
        <v>Non</v>
      </c>
      <c r="H24" s="10" t="str">
        <f>IFERROR(__xludf.DUMMYFUNCTION("""COMPUTED_VALUE"""),"Normale")</f>
        <v>Normale</v>
      </c>
      <c r="I24" s="10" t="str">
        <f>IFERROR(__xludf.DUMMYFUNCTION("""COMPUTED_VALUE"""),"Non")</f>
        <v>Non</v>
      </c>
      <c r="J24" s="10" t="str">
        <f>IFERROR(__xludf.DUMMYFUNCTION("""COMPUTED_VALUE"""),"Acide - Toucher")</f>
        <v>Acide - Toucher</v>
      </c>
      <c r="K24" s="10" t="str">
        <f>IFERROR(__xludf.DUMMYFUNCTION("""COMPUTED_VALUE"""),"Mort : Explosion acide")</f>
        <v>Mort : Explosion acide</v>
      </c>
      <c r="L24" s="10" t="str">
        <f>IFERROR(__xludf.DUMMYFUNCTION("""COMPUTED_VALUE"""),"40 ±25")</f>
        <v>40 ±25</v>
      </c>
      <c r="M24" s="10" t="str">
        <f>IFERROR(__xludf.DUMMYFUNCTION("""COMPUTED_VALUE"""),"5 ±3")</f>
        <v>5 ±3</v>
      </c>
      <c r="N24" s="10" t="str">
        <f>IFERROR(__xludf.DUMMYFUNCTION("""COMPUTED_VALUE"""),"7 ±3")</f>
        <v>7 ±3</v>
      </c>
      <c r="O24" s="10" t="str">
        <f>IFERROR(__xludf.DUMMYFUNCTION("""COMPUTED_VALUE"""),"4 ±3")</f>
        <v>4 ±3</v>
      </c>
      <c r="P24" s="10" t="str">
        <f>IFERROR(__xludf.DUMMYFUNCTION("""COMPUTED_VALUE"""),"4 ±3")</f>
        <v>4 ±3</v>
      </c>
      <c r="Q24" s="10" t="str">
        <f>IFERROR(__xludf.DUMMYFUNCTION("""COMPUTED_VALUE"""),"4 ±1")</f>
        <v>4 ±1</v>
      </c>
      <c r="R24" s="10" t="str">
        <f>IFERROR(__xludf.DUMMYFUNCTION("""COMPUTED_VALUE"""),"4 ±3")</f>
        <v>4 ±3</v>
      </c>
      <c r="S24" s="10" t="str">
        <f>IFERROR(__xludf.DUMMYFUNCTION("""COMPUTED_VALUE"""),"")</f>
        <v/>
      </c>
      <c r="T24" s="10" t="str">
        <f>IFERROR(__xludf.DUMMYFUNCTION("""COMPUTED_VALUE"""),"200 ±200")</f>
        <v>200 ±200</v>
      </c>
      <c r="U24" s="10" t="str">
        <f>IFERROR(__xludf.DUMMYFUNCTION("""COMPUTED_VALUE"""),"200 ±200")</f>
        <v>200 ±200</v>
      </c>
      <c r="V24" s="10" t="str">
        <f>IFERROR(__xludf.DUMMYFUNCTION("""COMPUTED_VALUE"""),"10 ±3")</f>
        <v>10 ±3</v>
      </c>
      <c r="W24" s="10">
        <f>IFERROR(__xludf.DUMMYFUNCTION("""COMPUTED_VALUE"""),42.0)</f>
        <v>42</v>
      </c>
      <c r="X24" s="10" t="str">
        <f>IFERROR(__xludf.DUMMYFUNCTION("""COMPUTED_VALUE"""),"Non")</f>
        <v>Non</v>
      </c>
      <c r="Y24" s="10"/>
      <c r="Z24" s="10"/>
      <c r="AA24" s="10"/>
      <c r="AB24" s="10"/>
      <c r="AC24" s="10"/>
      <c r="AD24" s="10"/>
      <c r="AE24" s="10"/>
      <c r="AF24" s="10"/>
      <c r="AG24" s="10"/>
      <c r="AH24" s="10"/>
    </row>
    <row r="25">
      <c r="A25" s="10" t="str">
        <f>IFERROR(__xludf.DUMMYFUNCTION("""COMPUTED_VALUE"""),"*Id*")</f>
        <v>*Id*</v>
      </c>
      <c r="B25" s="10" t="str">
        <f>IFERROR(__xludf.DUMMYFUNCTION("""COMPUTED_VALUE"""),"*Nom*")</f>
        <v>*Nom*</v>
      </c>
      <c r="C25" s="10" t="str">
        <f>IFERROR(__xludf.DUMMYFUNCTION("""COMPUTED_VALUE"""),"*Famille*")</f>
        <v>*Famille*</v>
      </c>
      <c r="D25" s="10" t="str">
        <f>IFERROR(__xludf.DUMMYFUNCTION("""COMPUTED_VALUE"""),"*Niv*")</f>
        <v>*Niv*</v>
      </c>
      <c r="E25" s="10" t="str">
        <f>IFERROR(__xludf.DUMMYFUNCTION("""COMPUTED_VALUE"""),"*Nb att*")</f>
        <v>*Nb att*</v>
      </c>
      <c r="F25" s="10" t="str">
        <f>IFERROR(__xludf.DUMMYFUNCTION("""COMPUTED_VALUE"""),"*Att mag*")</f>
        <v>*Att mag*</v>
      </c>
      <c r="G25" s="10" t="str">
        <f>IFERROR(__xludf.DUMMYFUNCTION("""COMPUTED_VALUE"""),"*Att dist*")</f>
        <v>*Att dist*</v>
      </c>
      <c r="H25" s="10" t="str">
        <f>IFERROR(__xludf.DUMMYFUNCTION("""COMPUTED_VALUE"""),"*Vit*")</f>
        <v>*Vit*</v>
      </c>
      <c r="I25" s="10" t="str">
        <f>IFERROR(__xludf.DUMMYFUNCTION("""COMPUTED_VALUE"""),"*VlC*")</f>
        <v>*VlC*</v>
      </c>
      <c r="J25" s="10" t="str">
        <f>IFERROR(__xludf.DUMMYFUNCTION("""COMPUTED_VALUE"""),"*Pouvoir 1*")</f>
        <v>*Pouvoir 1*</v>
      </c>
      <c r="K25" s="10" t="str">
        <f>IFERROR(__xludf.DUMMYFUNCTION("""COMPUTED_VALUE"""),"*Pouvoir 2*")</f>
        <v>*Pouvoir 2*</v>
      </c>
      <c r="L25" s="10" t="str">
        <f>IFERROR(__xludf.DUMMYFUNCTION("""COMPUTED_VALUE"""),"*PV*")</f>
        <v>*PV*</v>
      </c>
      <c r="M25" s="10" t="str">
        <f>IFERROR(__xludf.DUMMYFUNCTION("""COMPUTED_VALUE"""),"*Att*")</f>
        <v>*Att*</v>
      </c>
      <c r="N25" s="10" t="str">
        <f>IFERROR(__xludf.DUMMYFUNCTION("""COMPUTED_VALUE"""),"*Esq*")</f>
        <v>*Esq*</v>
      </c>
      <c r="O25" s="10" t="str">
        <f>IFERROR(__xludf.DUMMYFUNCTION("""COMPUTED_VALUE"""),"*Dégât*")</f>
        <v>*Dégât*</v>
      </c>
      <c r="P25" s="10" t="str">
        <f>IFERROR(__xludf.DUMMYFUNCTION("""COMPUTED_VALUE"""),"*Vue*")</f>
        <v>*Vue*</v>
      </c>
      <c r="Q25" s="10" t="str">
        <f>IFERROR(__xludf.DUMMYFUNCTION("""COMPUTED_VALUE"""),"*Régen*")</f>
        <v>*Régen*</v>
      </c>
      <c r="R25" s="10" t="str">
        <f>IFERROR(__xludf.DUMMYFUNCTION("""COMPUTED_VALUE"""),"*Arm phy*")</f>
        <v>*Arm phy*</v>
      </c>
      <c r="S25" s="10" t="str">
        <f>IFERROR(__xludf.DUMMYFUNCTION("""COMPUTED_VALUE"""),"*Arm mag*")</f>
        <v>*Arm mag*</v>
      </c>
      <c r="T25" s="10" t="str">
        <f>IFERROR(__xludf.DUMMYFUNCTION("""COMPUTED_VALUE"""),"*MM*")</f>
        <v>*MM*</v>
      </c>
      <c r="U25" s="10" t="str">
        <f>IFERROR(__xludf.DUMMYFUNCTION("""COMPUTED_VALUE"""),"*RM*")</f>
        <v>*RM*</v>
      </c>
      <c r="V25" s="10" t="str">
        <f>IFERROR(__xludf.DUMMYFUNCTION("""COMPUTED_VALUE"""),"*DLA*")</f>
        <v>*DLA*</v>
      </c>
      <c r="W25" s="10" t="str">
        <f>IFERROR(__xludf.DUMMYFUNCTION("""COMPUTED_VALUE"""),"*Echant*")</f>
        <v>*Echant*</v>
      </c>
      <c r="X25" s="10" t="str">
        <f>IFERROR(__xludf.DUMMYFUNCTION("""COMPUTED_VALUE"""),"*Vole*")</f>
        <v>*Vole*</v>
      </c>
      <c r="Y25" s="10"/>
      <c r="Z25" s="10"/>
      <c r="AA25" s="10"/>
      <c r="AB25" s="10"/>
      <c r="AC25" s="10"/>
      <c r="AD25" s="10"/>
      <c r="AE25" s="10"/>
      <c r="AF25" s="10"/>
      <c r="AG25" s="10"/>
      <c r="AH25" s="10"/>
    </row>
    <row r="26">
      <c r="A26" s="10">
        <f>IFERROR(__xludf.DUMMYFUNCTION("""COMPUTED_VALUE"""),214.0)</f>
        <v>214</v>
      </c>
      <c r="B26" s="10" t="str">
        <f>IFERROR(__xludf.DUMMYFUNCTION("""COMPUTED_VALUE"""),"Bouj'Dla")</f>
        <v>Bouj'Dla</v>
      </c>
      <c r="C26" s="10" t="str">
        <f>IFERROR(__xludf.DUMMYFUNCTION("""COMPUTED_VALUE"""),"Monstre")</f>
        <v>Monstre</v>
      </c>
      <c r="D26" s="10">
        <f>IFERROR(__xludf.DUMMYFUNCTION("""COMPUTED_VALUE"""),19.0)</f>
        <v>19</v>
      </c>
      <c r="E26" s="10">
        <f>IFERROR(__xludf.DUMMYFUNCTION("""COMPUTED_VALUE"""),1.0)</f>
        <v>1</v>
      </c>
      <c r="F26" s="10" t="str">
        <f>IFERROR(__xludf.DUMMYFUNCTION("""COMPUTED_VALUE"""),"Non")</f>
        <v>Non</v>
      </c>
      <c r="G26" s="10" t="str">
        <f>IFERROR(__xludf.DUMMYFUNCTION("""COMPUTED_VALUE"""),"Oui")</f>
        <v>Oui</v>
      </c>
      <c r="H26" s="10" t="str">
        <f>IFERROR(__xludf.DUMMYFUNCTION("""COMPUTED_VALUE"""),"Lente")</f>
        <v>Lente</v>
      </c>
      <c r="I26" s="10" t="str">
        <f>IFERROR(__xludf.DUMMYFUNCTION("""COMPUTED_VALUE"""),"Non")</f>
        <v>Non</v>
      </c>
      <c r="J26" s="10" t="str">
        <f>IFERROR(__xludf.DUMMYFUNCTION("""COMPUTED_VALUE"""),"Spore - Zone")</f>
        <v>Spore - Zone</v>
      </c>
      <c r="K26" s="10" t="str">
        <f>IFERROR(__xludf.DUMMYFUNCTION("""COMPUTED_VALUE"""),"Expulsion")</f>
        <v>Expulsion</v>
      </c>
      <c r="L26" s="10" t="str">
        <f>IFERROR(__xludf.DUMMYFUNCTION("""COMPUTED_VALUE"""),"155 ±45")</f>
        <v>155 ±45</v>
      </c>
      <c r="M26" s="10" t="str">
        <f>IFERROR(__xludf.DUMMYFUNCTION("""COMPUTED_VALUE"""),"6 ±3")</f>
        <v>6 ±3</v>
      </c>
      <c r="N26" s="10" t="str">
        <f>IFERROR(__xludf.DUMMYFUNCTION("""COMPUTED_VALUE"""),"1 ±1")</f>
        <v>1 ±1</v>
      </c>
      <c r="O26" s="10" t="str">
        <f>IFERROR(__xludf.DUMMYFUNCTION("""COMPUTED_VALUE"""),"10 ±3")</f>
        <v>10 ±3</v>
      </c>
      <c r="P26" s="10" t="str">
        <f>IFERROR(__xludf.DUMMYFUNCTION("""COMPUTED_VALUE"""),"7 ±3")</f>
        <v>7 ±3</v>
      </c>
      <c r="Q26" s="10" t="str">
        <f>IFERROR(__xludf.DUMMYFUNCTION("""COMPUTED_VALUE"""),"10 ±2")</f>
        <v>10 ±2</v>
      </c>
      <c r="R26" s="10" t="str">
        <f>IFERROR(__xludf.DUMMYFUNCTION("""COMPUTED_VALUE"""),"10 ±3")</f>
        <v>10 ±3</v>
      </c>
      <c r="S26" s="10">
        <f>IFERROR(__xludf.DUMMYFUNCTION("""COMPUTED_VALUE"""),0.0)</f>
        <v>0</v>
      </c>
      <c r="T26" s="10" t="str">
        <f>IFERROR(__xludf.DUMMYFUNCTION("""COMPUTED_VALUE"""),"0 ±200")</f>
        <v>0 ±200</v>
      </c>
      <c r="U26" s="10" t="str">
        <f>IFERROR(__xludf.DUMMYFUNCTION("""COMPUTED_VALUE"""),"4200 ±500")</f>
        <v>4200 ±500</v>
      </c>
      <c r="V26" s="10" t="str">
        <f>IFERROR(__xludf.DUMMYFUNCTION("""COMPUTED_VALUE"""),"10 ±4")</f>
        <v>10 ±4</v>
      </c>
      <c r="W26" s="10">
        <f>IFERROR(__xludf.DUMMYFUNCTION("""COMPUTED_VALUE"""),75.0)</f>
        <v>75</v>
      </c>
      <c r="X26" s="10" t="str">
        <f>IFERROR(__xludf.DUMMYFUNCTION("""COMPUTED_VALUE"""),"Non")</f>
        <v>Non</v>
      </c>
      <c r="Y26" s="10"/>
      <c r="Z26" s="10"/>
      <c r="AA26" s="10"/>
      <c r="AB26" s="10"/>
      <c r="AC26" s="10"/>
      <c r="AD26" s="10"/>
      <c r="AE26" s="10"/>
      <c r="AF26" s="10"/>
      <c r="AG26" s="10"/>
      <c r="AH26" s="10"/>
    </row>
    <row r="27">
      <c r="A27" s="10">
        <f>IFERROR(__xludf.DUMMYFUNCTION("""COMPUTED_VALUE"""),215.0)</f>
        <v>215</v>
      </c>
      <c r="B27" s="10" t="str">
        <f>IFERROR(__xludf.DUMMYFUNCTION("""COMPUTED_VALUE"""),"Bouj'Dla Placide")</f>
        <v>Bouj'Dla Placide</v>
      </c>
      <c r="C27" s="10" t="str">
        <f>IFERROR(__xludf.DUMMYFUNCTION("""COMPUTED_VALUE"""),"Monstre")</f>
        <v>Monstre</v>
      </c>
      <c r="D27" s="10">
        <f>IFERROR(__xludf.DUMMYFUNCTION("""COMPUTED_VALUE"""),37.0)</f>
        <v>37</v>
      </c>
      <c r="E27" s="10">
        <f>IFERROR(__xludf.DUMMYFUNCTION("""COMPUTED_VALUE"""),1.0)</f>
        <v>1</v>
      </c>
      <c r="F27" s="10" t="str">
        <f>IFERROR(__xludf.DUMMYFUNCTION("""COMPUTED_VALUE"""),"Non")</f>
        <v>Non</v>
      </c>
      <c r="G27" s="10" t="str">
        <f>IFERROR(__xludf.DUMMYFUNCTION("""COMPUTED_VALUE"""),"Oui")</f>
        <v>Oui</v>
      </c>
      <c r="H27" s="10" t="str">
        <f>IFERROR(__xludf.DUMMYFUNCTION("""COMPUTED_VALUE"""),"Lente")</f>
        <v>Lente</v>
      </c>
      <c r="I27" s="10" t="str">
        <f>IFERROR(__xludf.DUMMYFUNCTION("""COMPUTED_VALUE"""),"Oui")</f>
        <v>Oui</v>
      </c>
      <c r="J27" s="10" t="str">
        <f>IFERROR(__xludf.DUMMYFUNCTION("""COMPUTED_VALUE"""),"Spore - Zone")</f>
        <v>Spore - Zone</v>
      </c>
      <c r="K27" s="10" t="str">
        <f>IFERROR(__xludf.DUMMYFUNCTION("""COMPUTED_VALUE"""),"Expulsion")</f>
        <v>Expulsion</v>
      </c>
      <c r="L27" s="10" t="str">
        <f>IFERROR(__xludf.DUMMYFUNCTION("""COMPUTED_VALUE"""),"300 ±75")</f>
        <v>300 ±75</v>
      </c>
      <c r="M27" s="10" t="str">
        <f>IFERROR(__xludf.DUMMYFUNCTION("""COMPUTED_VALUE"""),"11 ±4")</f>
        <v>11 ±4</v>
      </c>
      <c r="N27" s="10" t="str">
        <f>IFERROR(__xludf.DUMMYFUNCTION("""COMPUTED_VALUE"""),"1 ±1")</f>
        <v>1 ±1</v>
      </c>
      <c r="O27" s="10" t="str">
        <f>IFERROR(__xludf.DUMMYFUNCTION("""COMPUTED_VALUE"""),"20 ±3")</f>
        <v>20 ±3</v>
      </c>
      <c r="P27" s="10" t="str">
        <f>IFERROR(__xludf.DUMMYFUNCTION("""COMPUTED_VALUE"""),"7 ±3")</f>
        <v>7 ±3</v>
      </c>
      <c r="Q27" s="10" t="str">
        <f>IFERROR(__xludf.DUMMYFUNCTION("""COMPUTED_VALUE"""),"15 ±3")</f>
        <v>15 ±3</v>
      </c>
      <c r="R27" s="10" t="str">
        <f>IFERROR(__xludf.DUMMYFUNCTION("""COMPUTED_VALUE"""),"30 ±5")</f>
        <v>30 ±5</v>
      </c>
      <c r="S27" s="10" t="str">
        <f>IFERROR(__xludf.DUMMYFUNCTION("""COMPUTED_VALUE"""),"")</f>
        <v/>
      </c>
      <c r="T27" s="10" t="str">
        <f>IFERROR(__xludf.DUMMYFUNCTION("""COMPUTED_VALUE"""),"0 ±200")</f>
        <v>0 ±200</v>
      </c>
      <c r="U27" s="10" t="str">
        <f>IFERROR(__xludf.DUMMYFUNCTION("""COMPUTED_VALUE"""),"")</f>
        <v/>
      </c>
      <c r="V27" s="10" t="str">
        <f>IFERROR(__xludf.DUMMYFUNCTION("""COMPUTED_VALUE"""),"11 ±3")</f>
        <v>11 ±3</v>
      </c>
      <c r="W27" s="10">
        <f>IFERROR(__xludf.DUMMYFUNCTION("""COMPUTED_VALUE"""),91.0)</f>
        <v>91</v>
      </c>
      <c r="X27" s="10" t="str">
        <f>IFERROR(__xludf.DUMMYFUNCTION("""COMPUTED_VALUE"""),"Non")</f>
        <v>Non</v>
      </c>
      <c r="Y27" s="10"/>
      <c r="Z27" s="10"/>
      <c r="AA27" s="10"/>
      <c r="AB27" s="10"/>
      <c r="AC27" s="10"/>
      <c r="AD27" s="10"/>
      <c r="AE27" s="10"/>
      <c r="AF27" s="10"/>
      <c r="AG27" s="10"/>
      <c r="AH27" s="10"/>
    </row>
    <row r="28">
      <c r="A28" s="10">
        <f>IFERROR(__xludf.DUMMYFUNCTION("""COMPUTED_VALUE"""),112.0)</f>
        <v>112</v>
      </c>
      <c r="B28" s="10" t="str">
        <f>IFERROR(__xludf.DUMMYFUNCTION("""COMPUTED_VALUE"""),"Bulette")</f>
        <v>Bulette</v>
      </c>
      <c r="C28" s="10" t="str">
        <f>IFERROR(__xludf.DUMMYFUNCTION("""COMPUTED_VALUE"""),"Monstre")</f>
        <v>Monstre</v>
      </c>
      <c r="D28" s="10">
        <f>IFERROR(__xludf.DUMMYFUNCTION("""COMPUTED_VALUE"""),19.0)</f>
        <v>19</v>
      </c>
      <c r="E28" s="10">
        <f>IFERROR(__xludf.DUMMYFUNCTION("""COMPUTED_VALUE"""),1.0)</f>
        <v>1</v>
      </c>
      <c r="F28" s="10" t="str">
        <f>IFERROR(__xludf.DUMMYFUNCTION("""COMPUTED_VALUE"""),"Non")</f>
        <v>Non</v>
      </c>
      <c r="G28" s="10" t="str">
        <f>IFERROR(__xludf.DUMMYFUNCTION("""COMPUTED_VALUE"""),"Non")</f>
        <v>Non</v>
      </c>
      <c r="H28" s="10" t="str">
        <f>IFERROR(__xludf.DUMMYFUNCTION("""COMPUTED_VALUE"""),"Normale")</f>
        <v>Normale</v>
      </c>
      <c r="I28" s="10" t="str">
        <f>IFERROR(__xludf.DUMMYFUNCTION("""COMPUTED_VALUE"""),"Non")</f>
        <v>Non</v>
      </c>
      <c r="J28" s="10" t="str">
        <f>IFERROR(__xludf.DUMMYFUNCTION("""COMPUTED_VALUE"""),"-")</f>
        <v>-</v>
      </c>
      <c r="K28" s="10" t="str">
        <f>IFERROR(__xludf.DUMMYFUNCTION("""COMPUTED_VALUE"""),"-")</f>
        <v>-</v>
      </c>
      <c r="L28" s="10" t="str">
        <f>IFERROR(__xludf.DUMMYFUNCTION("""COMPUTED_VALUE"""),"90 ±35")</f>
        <v>90 ±35</v>
      </c>
      <c r="M28" s="10" t="str">
        <f>IFERROR(__xludf.DUMMYFUNCTION("""COMPUTED_VALUE"""),"11 ±4")</f>
        <v>11 ±4</v>
      </c>
      <c r="N28" s="10" t="str">
        <f>IFERROR(__xludf.DUMMYFUNCTION("""COMPUTED_VALUE"""),"4 ±3")</f>
        <v>4 ±3</v>
      </c>
      <c r="O28" s="10" t="str">
        <f>IFERROR(__xludf.DUMMYFUNCTION("""COMPUTED_VALUE"""),"14 ±4")</f>
        <v>14 ±4</v>
      </c>
      <c r="P28" s="10" t="str">
        <f>IFERROR(__xludf.DUMMYFUNCTION("""COMPUTED_VALUE"""),"2 ±2")</f>
        <v>2 ±2</v>
      </c>
      <c r="Q28" s="10" t="str">
        <f>IFERROR(__xludf.DUMMYFUNCTION("""COMPUTED_VALUE"""),"1 ±1")</f>
        <v>1 ±1</v>
      </c>
      <c r="R28" s="10" t="str">
        <f>IFERROR(__xludf.DUMMYFUNCTION("""COMPUTED_VALUE"""),"14 ±4")</f>
        <v>14 ±4</v>
      </c>
      <c r="S28" s="10" t="str">
        <f>IFERROR(__xludf.DUMMYFUNCTION("""COMPUTED_VALUE"""),"")</f>
        <v/>
      </c>
      <c r="T28" s="10" t="str">
        <f>IFERROR(__xludf.DUMMYFUNCTION("""COMPUTED_VALUE"""),"100 ±500")</f>
        <v>100 ±500</v>
      </c>
      <c r="U28" s="10" t="str">
        <f>IFERROR(__xludf.DUMMYFUNCTION("""COMPUTED_VALUE"""),"900 ±300")</f>
        <v>900 ±300</v>
      </c>
      <c r="V28" s="10" t="str">
        <f>IFERROR(__xludf.DUMMYFUNCTION("""COMPUTED_VALUE"""),"12 ±3")</f>
        <v>12 ±3</v>
      </c>
      <c r="W28" s="10">
        <f>IFERROR(__xludf.DUMMYFUNCTION("""COMPUTED_VALUE"""),55.0)</f>
        <v>55</v>
      </c>
      <c r="X28" s="10" t="str">
        <f>IFERROR(__xludf.DUMMYFUNCTION("""COMPUTED_VALUE"""),"Non")</f>
        <v>Non</v>
      </c>
      <c r="Y28" s="10"/>
      <c r="Z28" s="10"/>
      <c r="AA28" s="10"/>
      <c r="AB28" s="10"/>
      <c r="AC28" s="10"/>
      <c r="AD28" s="10"/>
      <c r="AE28" s="10"/>
      <c r="AF28" s="10"/>
      <c r="AG28" s="10"/>
      <c r="AH28" s="10"/>
    </row>
    <row r="29">
      <c r="A29" s="10">
        <f>IFERROR(__xludf.DUMMYFUNCTION("""COMPUTED_VALUE"""),40.0)</f>
        <v>40</v>
      </c>
      <c r="B29" s="10" t="str">
        <f>IFERROR(__xludf.DUMMYFUNCTION("""COMPUTED_VALUE"""),"Caillouteux")</f>
        <v>Caillouteux</v>
      </c>
      <c r="C29" s="10" t="str">
        <f>IFERROR(__xludf.DUMMYFUNCTION("""COMPUTED_VALUE"""),"Humanoïde")</f>
        <v>Humanoïde</v>
      </c>
      <c r="D29" s="10">
        <f>IFERROR(__xludf.DUMMYFUNCTION("""COMPUTED_VALUE"""),1.0)</f>
        <v>1</v>
      </c>
      <c r="E29" s="10">
        <f>IFERROR(__xludf.DUMMYFUNCTION("""COMPUTED_VALUE"""),1.0)</f>
        <v>1</v>
      </c>
      <c r="F29" s="10" t="str">
        <f>IFERROR(__xludf.DUMMYFUNCTION("""COMPUTED_VALUE"""),"")</f>
        <v/>
      </c>
      <c r="G29" s="10" t="str">
        <f>IFERROR(__xludf.DUMMYFUNCTION("""COMPUTED_VALUE"""),"Non")</f>
        <v>Non</v>
      </c>
      <c r="H29" s="10" t="str">
        <f>IFERROR(__xludf.DUMMYFUNCTION("""COMPUTED_VALUE"""),"Lente")</f>
        <v>Lente</v>
      </c>
      <c r="I29" s="10" t="str">
        <f>IFERROR(__xludf.DUMMYFUNCTION("""COMPUTED_VALUE"""),"Non")</f>
        <v>Non</v>
      </c>
      <c r="J29" s="10" t="str">
        <f>IFERROR(__xludf.DUMMYFUNCTION("""COMPUTED_VALUE"""),"-")</f>
        <v>-</v>
      </c>
      <c r="K29" s="10" t="str">
        <f>IFERROR(__xludf.DUMMYFUNCTION("""COMPUTED_VALUE"""),"-")</f>
        <v>-</v>
      </c>
      <c r="L29" s="10" t="str">
        <f>IFERROR(__xludf.DUMMYFUNCTION("""COMPUTED_VALUE"""),"30 ±30")</f>
        <v>30 ±30</v>
      </c>
      <c r="M29" s="10" t="str">
        <f>IFERROR(__xludf.DUMMYFUNCTION("""COMPUTED_VALUE"""),"2 ±2")</f>
        <v>2 ±2</v>
      </c>
      <c r="N29" s="10" t="str">
        <f>IFERROR(__xludf.DUMMYFUNCTION("""COMPUTED_VALUE"""),"2 ±2")</f>
        <v>2 ±2</v>
      </c>
      <c r="O29" s="10" t="str">
        <f>IFERROR(__xludf.DUMMYFUNCTION("""COMPUTED_VALUE"""),"4 ±3")</f>
        <v>4 ±3</v>
      </c>
      <c r="P29" s="10" t="str">
        <f>IFERROR(__xludf.DUMMYFUNCTION("""COMPUTED_VALUE"""),"2 ±2")</f>
        <v>2 ±2</v>
      </c>
      <c r="Q29" s="10" t="str">
        <f>IFERROR(__xludf.DUMMYFUNCTION("""COMPUTED_VALUE"""),"1 ±1")</f>
        <v>1 ±1</v>
      </c>
      <c r="R29" s="10" t="str">
        <f>IFERROR(__xludf.DUMMYFUNCTION("""COMPUTED_VALUE"""),"10 ±3")</f>
        <v>10 ±3</v>
      </c>
      <c r="S29" s="10" t="str">
        <f>IFERROR(__xludf.DUMMYFUNCTION("""COMPUTED_VALUE"""),"")</f>
        <v/>
      </c>
      <c r="T29" s="10" t="str">
        <f>IFERROR(__xludf.DUMMYFUNCTION("""COMPUTED_VALUE"""),"")</f>
        <v/>
      </c>
      <c r="U29" s="10" t="str">
        <f>IFERROR(__xludf.DUMMYFUNCTION("""COMPUTED_VALUE"""),"")</f>
        <v/>
      </c>
      <c r="V29" s="10" t="str">
        <f>IFERROR(__xludf.DUMMYFUNCTION("""COMPUTED_VALUE"""),"")</f>
        <v/>
      </c>
      <c r="W29" s="10">
        <f>IFERROR(__xludf.DUMMYFUNCTION("""COMPUTED_VALUE"""),14.0)</f>
        <v>14</v>
      </c>
      <c r="X29" s="10" t="str">
        <f>IFERROR(__xludf.DUMMYFUNCTION("""COMPUTED_VALUE"""),"Non")</f>
        <v>Non</v>
      </c>
      <c r="Y29" s="10"/>
      <c r="Z29" s="10"/>
      <c r="AA29" s="10"/>
      <c r="AB29" s="10"/>
      <c r="AC29" s="10"/>
      <c r="AD29" s="10"/>
      <c r="AE29" s="10"/>
      <c r="AF29" s="10"/>
      <c r="AG29" s="10"/>
      <c r="AH29" s="10"/>
    </row>
    <row r="30">
      <c r="A30" s="10">
        <f>IFERROR(__xludf.DUMMYFUNCTION("""COMPUTED_VALUE"""),204.0)</f>
        <v>204</v>
      </c>
      <c r="B30" s="10" t="str">
        <f>IFERROR(__xludf.DUMMYFUNCTION("""COMPUTED_VALUE"""),"Capitan")</f>
        <v>Capitan</v>
      </c>
      <c r="C30" s="10" t="str">
        <f>IFERROR(__xludf.DUMMYFUNCTION("""COMPUTED_VALUE"""),"Mort-Vivant")</f>
        <v>Mort-Vivant</v>
      </c>
      <c r="D30" s="10">
        <f>IFERROR(__xludf.DUMMYFUNCTION("""COMPUTED_VALUE"""),35.0)</f>
        <v>35</v>
      </c>
      <c r="E30" s="10">
        <f>IFERROR(__xludf.DUMMYFUNCTION("""COMPUTED_VALUE"""),1.0)</f>
        <v>1</v>
      </c>
      <c r="F30" s="10" t="str">
        <f>IFERROR(__xludf.DUMMYFUNCTION("""COMPUTED_VALUE"""),"")</f>
        <v/>
      </c>
      <c r="G30" s="10" t="str">
        <f>IFERROR(__xludf.DUMMYFUNCTION("""COMPUTED_VALUE"""),"Non")</f>
        <v>Non</v>
      </c>
      <c r="H30" s="10" t="str">
        <f>IFERROR(__xludf.DUMMYFUNCTION("""COMPUTED_VALUE"""),"Rapide")</f>
        <v>Rapide</v>
      </c>
      <c r="I30" s="10" t="str">
        <f>IFERROR(__xludf.DUMMYFUNCTION("""COMPUTED_VALUE"""),"Non")</f>
        <v>Non</v>
      </c>
      <c r="J30" s="10" t="str">
        <f>IFERROR(__xludf.DUMMYFUNCTION("""COMPUTED_VALUE"""),"-")</f>
        <v>-</v>
      </c>
      <c r="K30" s="10" t="str">
        <f>IFERROR(__xludf.DUMMYFUNCTION("""COMPUTED_VALUE"""),"Mort : tresor special (carte de cachette)")</f>
        <v>Mort : tresor special (carte de cachette)</v>
      </c>
      <c r="L30" s="10" t="str">
        <f>IFERROR(__xludf.DUMMYFUNCTION("""COMPUTED_VALUE"""),"195 ±50")</f>
        <v>195 ±50</v>
      </c>
      <c r="M30" s="10" t="str">
        <f>IFERROR(__xludf.DUMMYFUNCTION("""COMPUTED_VALUE"""),"14 ±4")</f>
        <v>14 ±4</v>
      </c>
      <c r="N30" s="10" t="str">
        <f>IFERROR(__xludf.DUMMYFUNCTION("""COMPUTED_VALUE"""),"15 ±4")</f>
        <v>15 ±4</v>
      </c>
      <c r="O30" s="10" t="str">
        <f>IFERROR(__xludf.DUMMYFUNCTION("""COMPUTED_VALUE"""),"14 ±3")</f>
        <v>14 ±3</v>
      </c>
      <c r="P30" s="10" t="str">
        <f>IFERROR(__xludf.DUMMYFUNCTION("""COMPUTED_VALUE"""),"14 ±4")</f>
        <v>14 ±4</v>
      </c>
      <c r="Q30" s="10" t="str">
        <f>IFERROR(__xludf.DUMMYFUNCTION("""COMPUTED_VALUE"""),"7 ±2")</f>
        <v>7 ±2</v>
      </c>
      <c r="R30" s="10" t="str">
        <f>IFERROR(__xludf.DUMMYFUNCTION("""COMPUTED_VALUE"""),"15 ±4")</f>
        <v>15 ±4</v>
      </c>
      <c r="S30" s="10" t="str">
        <f>IFERROR(__xludf.DUMMYFUNCTION("""COMPUTED_VALUE"""),"")</f>
        <v/>
      </c>
      <c r="T30" s="10" t="str">
        <f>IFERROR(__xludf.DUMMYFUNCTION("""COMPUTED_VALUE"""),"1500 ±400")</f>
        <v>1500 ±400</v>
      </c>
      <c r="U30" s="10" t="str">
        <f>IFERROR(__xludf.DUMMYFUNCTION("""COMPUTED_VALUE"""),"1400 ±500")</f>
        <v>1400 ±500</v>
      </c>
      <c r="V30" s="10" t="str">
        <f>IFERROR(__xludf.DUMMYFUNCTION("""COMPUTED_VALUE"""),"9 ±3")</f>
        <v>9 ±3</v>
      </c>
      <c r="W30" s="10">
        <f>IFERROR(__xludf.DUMMYFUNCTION("""COMPUTED_VALUE"""),22.0)</f>
        <v>22</v>
      </c>
      <c r="X30" s="10" t="str">
        <f>IFERROR(__xludf.DUMMYFUNCTION("""COMPUTED_VALUE"""),"Non")</f>
        <v>Non</v>
      </c>
      <c r="Y30" s="10"/>
      <c r="Z30" s="10"/>
      <c r="AA30" s="10"/>
      <c r="AB30" s="10"/>
      <c r="AC30" s="10"/>
      <c r="AD30" s="10"/>
      <c r="AE30" s="10"/>
      <c r="AF30" s="10"/>
      <c r="AG30" s="10"/>
      <c r="AH30" s="10"/>
    </row>
    <row r="31">
      <c r="A31" s="10">
        <f>IFERROR(__xludf.DUMMYFUNCTION("""COMPUTED_VALUE"""),135.0)</f>
        <v>135</v>
      </c>
      <c r="B31" s="10" t="str">
        <f>IFERROR(__xludf.DUMMYFUNCTION("""COMPUTED_VALUE"""),"Carnosaure")</f>
        <v>Carnosaure</v>
      </c>
      <c r="C31" s="10" t="str">
        <f>IFERROR(__xludf.DUMMYFUNCTION("""COMPUTED_VALUE"""),"Monstre")</f>
        <v>Monstre</v>
      </c>
      <c r="D31" s="10">
        <f>IFERROR(__xludf.DUMMYFUNCTION("""COMPUTED_VALUE"""),25.0)</f>
        <v>25</v>
      </c>
      <c r="E31" s="10">
        <f>IFERROR(__xludf.DUMMYFUNCTION("""COMPUTED_VALUE"""),1.0)</f>
        <v>1</v>
      </c>
      <c r="F31" s="10" t="str">
        <f>IFERROR(__xludf.DUMMYFUNCTION("""COMPUTED_VALUE"""),"Non")</f>
        <v>Non</v>
      </c>
      <c r="G31" s="10" t="str">
        <f>IFERROR(__xludf.DUMMYFUNCTION("""COMPUTED_VALUE"""),"Non")</f>
        <v>Non</v>
      </c>
      <c r="H31" s="10" t="str">
        <f>IFERROR(__xludf.DUMMYFUNCTION("""COMPUTED_VALUE"""),"Normale")</f>
        <v>Normale</v>
      </c>
      <c r="I31" s="10" t="str">
        <f>IFERROR(__xludf.DUMMYFUNCTION("""COMPUTED_VALUE"""),"Non")</f>
        <v>Non</v>
      </c>
      <c r="J31" s="10" t="str">
        <f>IFERROR(__xludf.DUMMYFUNCTION("""COMPUTED_VALUE"""),"-")</f>
        <v>-</v>
      </c>
      <c r="K31" s="10" t="str">
        <f>IFERROR(__xludf.DUMMYFUNCTION("""COMPUTED_VALUE"""),"-")</f>
        <v>-</v>
      </c>
      <c r="L31" s="10" t="str">
        <f>IFERROR(__xludf.DUMMYFUNCTION("""COMPUTED_VALUE"""),"105 ±35")</f>
        <v>105 ±35</v>
      </c>
      <c r="M31" s="10" t="str">
        <f>IFERROR(__xludf.DUMMYFUNCTION("""COMPUTED_VALUE"""),"10 ±3")</f>
        <v>10 ±3</v>
      </c>
      <c r="N31" s="10" t="str">
        <f>IFERROR(__xludf.DUMMYFUNCTION("""COMPUTED_VALUE"""),"7 ±3")</f>
        <v>7 ±3</v>
      </c>
      <c r="O31" s="10" t="str">
        <f>IFERROR(__xludf.DUMMYFUNCTION("""COMPUTED_VALUE"""),"17 ±4")</f>
        <v>17 ±4</v>
      </c>
      <c r="P31" s="10" t="str">
        <f>IFERROR(__xludf.DUMMYFUNCTION("""COMPUTED_VALUE"""),"3 ±2")</f>
        <v>3 ±2</v>
      </c>
      <c r="Q31" s="10" t="str">
        <f>IFERROR(__xludf.DUMMYFUNCTION("""COMPUTED_VALUE"""),"2 ±1")</f>
        <v>2 ±1</v>
      </c>
      <c r="R31" s="10" t="str">
        <f>IFERROR(__xludf.DUMMYFUNCTION("""COMPUTED_VALUE"""),"7 ±3")</f>
        <v>7 ±3</v>
      </c>
      <c r="S31" s="10" t="str">
        <f>IFERROR(__xludf.DUMMYFUNCTION("""COMPUTED_VALUE"""),"")</f>
        <v/>
      </c>
      <c r="T31" s="10" t="str">
        <f>IFERROR(__xludf.DUMMYFUNCTION("""COMPUTED_VALUE"""),"100 ±200")</f>
        <v>100 ±200</v>
      </c>
      <c r="U31" s="10" t="str">
        <f>IFERROR(__xludf.DUMMYFUNCTION("""COMPUTED_VALUE"""),"400 ±300")</f>
        <v>400 ±300</v>
      </c>
      <c r="V31" s="10" t="str">
        <f>IFERROR(__xludf.DUMMYFUNCTION("""COMPUTED_VALUE"""),"12 ±4")</f>
        <v>12 ±4</v>
      </c>
      <c r="W31" s="10">
        <f>IFERROR(__xludf.DUMMYFUNCTION("""COMPUTED_VALUE"""),118.0)</f>
        <v>118</v>
      </c>
      <c r="X31" s="10" t="str">
        <f>IFERROR(__xludf.DUMMYFUNCTION("""COMPUTED_VALUE"""),"Non")</f>
        <v>Non</v>
      </c>
      <c r="Y31" s="10"/>
      <c r="Z31" s="10"/>
      <c r="AA31" s="10"/>
      <c r="AB31" s="10"/>
      <c r="AC31" s="10"/>
      <c r="AD31" s="10"/>
      <c r="AE31" s="10"/>
      <c r="AF31" s="10"/>
      <c r="AG31" s="10"/>
      <c r="AH31" s="10"/>
    </row>
    <row r="32">
      <c r="A32" s="10">
        <f>IFERROR(__xludf.DUMMYFUNCTION("""COMPUTED_VALUE"""),118.0)</f>
        <v>118</v>
      </c>
      <c r="B32" s="10" t="str">
        <f>IFERROR(__xludf.DUMMYFUNCTION("""COMPUTED_VALUE"""),"Champi-Glouton")</f>
        <v>Champi-Glouton</v>
      </c>
      <c r="C32" s="10" t="str">
        <f>IFERROR(__xludf.DUMMYFUNCTION("""COMPUTED_VALUE"""),"Humanoïde")</f>
        <v>Humanoïde</v>
      </c>
      <c r="D32" s="10">
        <f>IFERROR(__xludf.DUMMYFUNCTION("""COMPUTED_VALUE"""),3.0)</f>
        <v>3</v>
      </c>
      <c r="E32" s="10">
        <f>IFERROR(__xludf.DUMMYFUNCTION("""COMPUTED_VALUE"""),1.0)</f>
        <v>1</v>
      </c>
      <c r="F32" s="10" t="str">
        <f>IFERROR(__xludf.DUMMYFUNCTION("""COMPUTED_VALUE"""),"")</f>
        <v/>
      </c>
      <c r="G32" s="10" t="str">
        <f>IFERROR(__xludf.DUMMYFUNCTION("""COMPUTED_VALUE"""),"Oui")</f>
        <v>Oui</v>
      </c>
      <c r="H32" s="10" t="str">
        <f>IFERROR(__xludf.DUMMYFUNCTION("""COMPUTED_VALUE"""),"Normale")</f>
        <v>Normale</v>
      </c>
      <c r="I32" s="10" t="str">
        <f>IFERROR(__xludf.DUMMYFUNCTION("""COMPUTED_VALUE"""),"Oui")</f>
        <v>Oui</v>
      </c>
      <c r="J32" s="10" t="str">
        <f>IFERROR(__xludf.DUMMYFUNCTION("""COMPUTED_VALUE"""),"Spore - Auto")</f>
        <v>Spore - Auto</v>
      </c>
      <c r="K32" s="10" t="str">
        <f>IFERROR(__xludf.DUMMYFUNCTION("""COMPUTED_VALUE"""),"-")</f>
        <v>-</v>
      </c>
      <c r="L32" s="10" t="str">
        <f>IFERROR(__xludf.DUMMYFUNCTION("""COMPUTED_VALUE"""),"25 ±25")</f>
        <v>25 ±25</v>
      </c>
      <c r="M32" s="10" t="str">
        <f>IFERROR(__xludf.DUMMYFUNCTION("""COMPUTED_VALUE"""),"5 ±3")</f>
        <v>5 ±3</v>
      </c>
      <c r="N32" s="10" t="str">
        <f>IFERROR(__xludf.DUMMYFUNCTION("""COMPUTED_VALUE"""),"3 ±3")</f>
        <v>3 ±3</v>
      </c>
      <c r="O32" s="10" t="str">
        <f>IFERROR(__xludf.DUMMYFUNCTION("""COMPUTED_VALUE"""),"3 ±3")</f>
        <v>3 ±3</v>
      </c>
      <c r="P32" s="10" t="str">
        <f>IFERROR(__xludf.DUMMYFUNCTION("""COMPUTED_VALUE"""),"3 ±2")</f>
        <v>3 ±2</v>
      </c>
      <c r="Q32" s="10" t="str">
        <f>IFERROR(__xludf.DUMMYFUNCTION("""COMPUTED_VALUE"""),"2 ±1")</f>
        <v>2 ±1</v>
      </c>
      <c r="R32" s="10" t="str">
        <f>IFERROR(__xludf.DUMMYFUNCTION("""COMPUTED_VALUE"""),"1 ±2")</f>
        <v>1 ±2</v>
      </c>
      <c r="S32" s="10" t="str">
        <f>IFERROR(__xludf.DUMMYFUNCTION("""COMPUTED_VALUE"""),"")</f>
        <v/>
      </c>
      <c r="T32" s="10" t="str">
        <f>IFERROR(__xludf.DUMMYFUNCTION("""COMPUTED_VALUE"""),"500 ±300")</f>
        <v>500 ±300</v>
      </c>
      <c r="U32" s="10" t="str">
        <f>IFERROR(__xludf.DUMMYFUNCTION("""COMPUTED_VALUE"""),"500 ±200")</f>
        <v>500 ±200</v>
      </c>
      <c r="V32" s="10" t="str">
        <f>IFERROR(__xludf.DUMMYFUNCTION("""COMPUTED_VALUE"""),"14 ±3")</f>
        <v>14 ±3</v>
      </c>
      <c r="W32" s="10">
        <f>IFERROR(__xludf.DUMMYFUNCTION("""COMPUTED_VALUE"""),11.0)</f>
        <v>11</v>
      </c>
      <c r="X32" s="10" t="str">
        <f>IFERROR(__xludf.DUMMYFUNCTION("""COMPUTED_VALUE"""),"Non")</f>
        <v>Non</v>
      </c>
      <c r="Y32" s="10"/>
      <c r="Z32" s="10"/>
      <c r="AA32" s="10"/>
      <c r="AB32" s="10"/>
      <c r="AC32" s="10"/>
      <c r="AD32" s="10"/>
      <c r="AE32" s="10"/>
      <c r="AF32" s="10"/>
      <c r="AG32" s="10"/>
      <c r="AH32" s="10"/>
    </row>
    <row r="33">
      <c r="A33" s="10" t="str">
        <f>IFERROR(__xludf.DUMMYFUNCTION("""COMPUTED_VALUE"""),"*Id*")</f>
        <v>*Id*</v>
      </c>
      <c r="B33" s="10" t="str">
        <f>IFERROR(__xludf.DUMMYFUNCTION("""COMPUTED_VALUE"""),"*Nom*")</f>
        <v>*Nom*</v>
      </c>
      <c r="C33" s="10" t="str">
        <f>IFERROR(__xludf.DUMMYFUNCTION("""COMPUTED_VALUE"""),"*Famille*")</f>
        <v>*Famille*</v>
      </c>
      <c r="D33" s="10" t="str">
        <f>IFERROR(__xludf.DUMMYFUNCTION("""COMPUTED_VALUE"""),"*Niv*")</f>
        <v>*Niv*</v>
      </c>
      <c r="E33" s="10" t="str">
        <f>IFERROR(__xludf.DUMMYFUNCTION("""COMPUTED_VALUE"""),"*Nb att*")</f>
        <v>*Nb att*</v>
      </c>
      <c r="F33" s="10" t="str">
        <f>IFERROR(__xludf.DUMMYFUNCTION("""COMPUTED_VALUE"""),"*Att mag*")</f>
        <v>*Att mag*</v>
      </c>
      <c r="G33" s="10" t="str">
        <f>IFERROR(__xludf.DUMMYFUNCTION("""COMPUTED_VALUE"""),"*Att dist*")</f>
        <v>*Att dist*</v>
      </c>
      <c r="H33" s="10" t="str">
        <f>IFERROR(__xludf.DUMMYFUNCTION("""COMPUTED_VALUE"""),"*Vit*")</f>
        <v>*Vit*</v>
      </c>
      <c r="I33" s="10" t="str">
        <f>IFERROR(__xludf.DUMMYFUNCTION("""COMPUTED_VALUE"""),"*VlC*")</f>
        <v>*VlC*</v>
      </c>
      <c r="J33" s="10" t="str">
        <f>IFERROR(__xludf.DUMMYFUNCTION("""COMPUTED_VALUE"""),"*Pouvoir 1*")</f>
        <v>*Pouvoir 1*</v>
      </c>
      <c r="K33" s="10" t="str">
        <f>IFERROR(__xludf.DUMMYFUNCTION("""COMPUTED_VALUE"""),"*Pouvoir 2*")</f>
        <v>*Pouvoir 2*</v>
      </c>
      <c r="L33" s="10" t="str">
        <f>IFERROR(__xludf.DUMMYFUNCTION("""COMPUTED_VALUE"""),"*PV*")</f>
        <v>*PV*</v>
      </c>
      <c r="M33" s="10" t="str">
        <f>IFERROR(__xludf.DUMMYFUNCTION("""COMPUTED_VALUE"""),"*Att*")</f>
        <v>*Att*</v>
      </c>
      <c r="N33" s="10" t="str">
        <f>IFERROR(__xludf.DUMMYFUNCTION("""COMPUTED_VALUE"""),"*Esq*")</f>
        <v>*Esq*</v>
      </c>
      <c r="O33" s="10" t="str">
        <f>IFERROR(__xludf.DUMMYFUNCTION("""COMPUTED_VALUE"""),"*Dégât*")</f>
        <v>*Dégât*</v>
      </c>
      <c r="P33" s="10" t="str">
        <f>IFERROR(__xludf.DUMMYFUNCTION("""COMPUTED_VALUE"""),"*Vue*")</f>
        <v>*Vue*</v>
      </c>
      <c r="Q33" s="10" t="str">
        <f>IFERROR(__xludf.DUMMYFUNCTION("""COMPUTED_VALUE"""),"*Régen*")</f>
        <v>*Régen*</v>
      </c>
      <c r="R33" s="10" t="str">
        <f>IFERROR(__xludf.DUMMYFUNCTION("""COMPUTED_VALUE"""),"*Arm phy*")</f>
        <v>*Arm phy*</v>
      </c>
      <c r="S33" s="10" t="str">
        <f>IFERROR(__xludf.DUMMYFUNCTION("""COMPUTED_VALUE"""),"*Arm mag*")</f>
        <v>*Arm mag*</v>
      </c>
      <c r="T33" s="10" t="str">
        <f>IFERROR(__xludf.DUMMYFUNCTION("""COMPUTED_VALUE"""),"*MM*")</f>
        <v>*MM*</v>
      </c>
      <c r="U33" s="10" t="str">
        <f>IFERROR(__xludf.DUMMYFUNCTION("""COMPUTED_VALUE"""),"*RM*")</f>
        <v>*RM*</v>
      </c>
      <c r="V33" s="10" t="str">
        <f>IFERROR(__xludf.DUMMYFUNCTION("""COMPUTED_VALUE"""),"*DLA*")</f>
        <v>*DLA*</v>
      </c>
      <c r="W33" s="10" t="str">
        <f>IFERROR(__xludf.DUMMYFUNCTION("""COMPUTED_VALUE"""),"*Echant*")</f>
        <v>*Echant*</v>
      </c>
      <c r="X33" s="10" t="str">
        <f>IFERROR(__xludf.DUMMYFUNCTION("""COMPUTED_VALUE"""),"*Vole*")</f>
        <v>*Vole*</v>
      </c>
      <c r="Y33" s="10"/>
      <c r="Z33" s="10"/>
      <c r="AA33" s="10"/>
      <c r="AB33" s="10"/>
      <c r="AC33" s="10"/>
      <c r="AD33" s="10"/>
      <c r="AE33" s="10"/>
      <c r="AF33" s="10"/>
      <c r="AG33" s="10"/>
      <c r="AH33" s="10"/>
    </row>
    <row r="34">
      <c r="A34" s="10">
        <f>IFERROR(__xludf.DUMMYFUNCTION("""COMPUTED_VALUE"""),137.0)</f>
        <v>137</v>
      </c>
      <c r="B34" s="10" t="str">
        <f>IFERROR(__xludf.DUMMYFUNCTION("""COMPUTED_VALUE"""),"Chauve-Souris Geante")</f>
        <v>Chauve-Souris Geante</v>
      </c>
      <c r="C34" s="10" t="str">
        <f>IFERROR(__xludf.DUMMYFUNCTION("""COMPUTED_VALUE"""),"Animal")</f>
        <v>Animal</v>
      </c>
      <c r="D34" s="10">
        <f>IFERROR(__xludf.DUMMYFUNCTION("""COMPUTED_VALUE"""),4.0)</f>
        <v>4</v>
      </c>
      <c r="E34" s="10">
        <f>IFERROR(__xludf.DUMMYFUNCTION("""COMPUTED_VALUE"""),1.0)</f>
        <v>1</v>
      </c>
      <c r="F34" s="10" t="str">
        <f>IFERROR(__xludf.DUMMYFUNCTION("""COMPUTED_VALUE"""),"")</f>
        <v/>
      </c>
      <c r="G34" s="10" t="str">
        <f>IFERROR(__xludf.DUMMYFUNCTION("""COMPUTED_VALUE"""),"Non")</f>
        <v>Non</v>
      </c>
      <c r="H34" s="10" t="str">
        <f>IFERROR(__xludf.DUMMYFUNCTION("""COMPUTED_VALUE"""),"Rapide")</f>
        <v>Rapide</v>
      </c>
      <c r="I34" s="10" t="str">
        <f>IFERROR(__xludf.DUMMYFUNCTION("""COMPUTED_VALUE"""),"Oui")</f>
        <v>Oui</v>
      </c>
      <c r="J34" s="10" t="str">
        <f>IFERROR(__xludf.DUMMYFUNCTION("""COMPUTED_VALUE"""),"-")</f>
        <v>-</v>
      </c>
      <c r="K34" s="10" t="str">
        <f>IFERROR(__xludf.DUMMYFUNCTION("""COMPUTED_VALUE"""),"-")</f>
        <v>-</v>
      </c>
      <c r="L34" s="10" t="str">
        <f>IFERROR(__xludf.DUMMYFUNCTION("""COMPUTED_VALUE"""),"15 ±20")</f>
        <v>15 ±20</v>
      </c>
      <c r="M34" s="10" t="str">
        <f>IFERROR(__xludf.DUMMYFUNCTION("""COMPUTED_VALUE"""),"3 ±3")</f>
        <v>3 ±3</v>
      </c>
      <c r="N34" s="10" t="str">
        <f>IFERROR(__xludf.DUMMYFUNCTION("""COMPUTED_VALUE"""),"4 ±3")</f>
        <v>4 ±3</v>
      </c>
      <c r="O34" s="10" t="str">
        <f>IFERROR(__xludf.DUMMYFUNCTION("""COMPUTED_VALUE"""),"1 ±2")</f>
        <v>1 ±2</v>
      </c>
      <c r="P34" s="10" t="str">
        <f>IFERROR(__xludf.DUMMYFUNCTION("""COMPUTED_VALUE"""),"4 ±3")</f>
        <v>4 ±3</v>
      </c>
      <c r="Q34" s="10" t="str">
        <f>IFERROR(__xludf.DUMMYFUNCTION("""COMPUTED_VALUE"""),"1 ±1")</f>
        <v>1 ±1</v>
      </c>
      <c r="R34" s="10" t="str">
        <f>IFERROR(__xludf.DUMMYFUNCTION("""COMPUTED_VALUE"""),"1 ±2")</f>
        <v>1 ±2</v>
      </c>
      <c r="S34" s="10" t="str">
        <f>IFERROR(__xludf.DUMMYFUNCTION("""COMPUTED_VALUE"""),"")</f>
        <v/>
      </c>
      <c r="T34" s="10" t="str">
        <f>IFERROR(__xludf.DUMMYFUNCTION("""COMPUTED_VALUE"""),"100 ±300")</f>
        <v>100 ±300</v>
      </c>
      <c r="U34" s="10" t="str">
        <f>IFERROR(__xludf.DUMMYFUNCTION("""COMPUTED_VALUE"""),"100 ±100")</f>
        <v>100 ±100</v>
      </c>
      <c r="V34" s="10" t="str">
        <f>IFERROR(__xludf.DUMMYFUNCTION("""COMPUTED_VALUE"""),"11 ±3")</f>
        <v>11 ±3</v>
      </c>
      <c r="W34" s="10">
        <f>IFERROR(__xludf.DUMMYFUNCTION("""COMPUTED_VALUE"""),23.0)</f>
        <v>23</v>
      </c>
      <c r="X34" s="10" t="str">
        <f>IFERROR(__xludf.DUMMYFUNCTION("""COMPUTED_VALUE"""),"Oui")</f>
        <v>Oui</v>
      </c>
      <c r="Y34" s="10"/>
      <c r="Z34" s="10"/>
      <c r="AA34" s="10"/>
      <c r="AB34" s="10"/>
      <c r="AC34" s="10"/>
      <c r="AD34" s="10"/>
      <c r="AE34" s="10"/>
      <c r="AF34" s="10"/>
      <c r="AG34" s="10"/>
      <c r="AH34" s="10"/>
    </row>
    <row r="35">
      <c r="A35" s="10">
        <f>IFERROR(__xludf.DUMMYFUNCTION("""COMPUTED_VALUE"""),207.0)</f>
        <v>207</v>
      </c>
      <c r="B35" s="10" t="str">
        <f>IFERROR(__xludf.DUMMYFUNCTION("""COMPUTED_VALUE"""),"Cheval à Dents de Sabre")</f>
        <v>Cheval à Dents de Sabre</v>
      </c>
      <c r="C35" s="10" t="str">
        <f>IFERROR(__xludf.DUMMYFUNCTION("""COMPUTED_VALUE"""),"Animal")</f>
        <v>Animal</v>
      </c>
      <c r="D35" s="10">
        <f>IFERROR(__xludf.DUMMYFUNCTION("""COMPUTED_VALUE"""),23.0)</f>
        <v>23</v>
      </c>
      <c r="E35" s="10">
        <f>IFERROR(__xludf.DUMMYFUNCTION("""COMPUTED_VALUE"""),1.0)</f>
        <v>1</v>
      </c>
      <c r="F35" s="10" t="str">
        <f>IFERROR(__xludf.DUMMYFUNCTION("""COMPUTED_VALUE"""),"Non")</f>
        <v>Non</v>
      </c>
      <c r="G35" s="10" t="str">
        <f>IFERROR(__xludf.DUMMYFUNCTION("""COMPUTED_VALUE"""),"Non")</f>
        <v>Non</v>
      </c>
      <c r="H35" s="10" t="str">
        <f>IFERROR(__xludf.DUMMYFUNCTION("""COMPUTED_VALUE"""),"Rapide")</f>
        <v>Rapide</v>
      </c>
      <c r="I35" s="10" t="str">
        <f>IFERROR(__xludf.DUMMYFUNCTION("""COMPUTED_VALUE"""),"Non")</f>
        <v>Non</v>
      </c>
      <c r="J35" s="10" t="str">
        <f>IFERROR(__xludf.DUMMYFUNCTION("""COMPUTED_VALUE"""),"Maladie - Zone")</f>
        <v>Maladie - Zone</v>
      </c>
      <c r="K35" s="10" t="str">
        <f>IFERROR(__xludf.DUMMYFUNCTION("""COMPUTED_VALUE"""),"-")</f>
        <v>-</v>
      </c>
      <c r="L35" s="10" t="str">
        <f>IFERROR(__xludf.DUMMYFUNCTION("""COMPUTED_VALUE"""),"130 ±40")</f>
        <v>130 ±40</v>
      </c>
      <c r="M35" s="10" t="str">
        <f>IFERROR(__xludf.DUMMYFUNCTION("""COMPUTED_VALUE"""),"12 ±4")</f>
        <v>12 ±4</v>
      </c>
      <c r="N35" s="10" t="str">
        <f>IFERROR(__xludf.DUMMYFUNCTION("""COMPUTED_VALUE"""),"10 ±3")</f>
        <v>10 ±3</v>
      </c>
      <c r="O35" s="10" t="str">
        <f>IFERROR(__xludf.DUMMYFUNCTION("""COMPUTED_VALUE"""),"9 ±3")</f>
        <v>9 ±3</v>
      </c>
      <c r="P35" s="10" t="str">
        <f>IFERROR(__xludf.DUMMYFUNCTION("""COMPUTED_VALUE"""),"4 ±2")</f>
        <v>4 ±2</v>
      </c>
      <c r="Q35" s="10" t="str">
        <f>IFERROR(__xludf.DUMMYFUNCTION("""COMPUTED_VALUE"""),"4 ±1")</f>
        <v>4 ±1</v>
      </c>
      <c r="R35" s="10" t="str">
        <f>IFERROR(__xludf.DUMMYFUNCTION("""COMPUTED_VALUE"""),"9 ±3")</f>
        <v>9 ±3</v>
      </c>
      <c r="S35" s="10" t="str">
        <f>IFERROR(__xludf.DUMMYFUNCTION("""COMPUTED_VALUE"""),"")</f>
        <v/>
      </c>
      <c r="T35" s="10" t="str">
        <f>IFERROR(__xludf.DUMMYFUNCTION("""COMPUTED_VALUE"""),"1200 ±400")</f>
        <v>1200 ±400</v>
      </c>
      <c r="U35" s="10" t="str">
        <f>IFERROR(__xludf.DUMMYFUNCTION("""COMPUTED_VALUE"""),"1700 ±500")</f>
        <v>1700 ±500</v>
      </c>
      <c r="V35" s="10" t="str">
        <f>IFERROR(__xludf.DUMMYFUNCTION("""COMPUTED_VALUE"""),"9 ±3")</f>
        <v>9 ±3</v>
      </c>
      <c r="W35" s="10">
        <f>IFERROR(__xludf.DUMMYFUNCTION("""COMPUTED_VALUE"""),149.0)</f>
        <v>149</v>
      </c>
      <c r="X35" s="10" t="str">
        <f>IFERROR(__xludf.DUMMYFUNCTION("""COMPUTED_VALUE"""),"Non")</f>
        <v>Non</v>
      </c>
      <c r="Y35" s="10"/>
      <c r="Z35" s="10"/>
      <c r="AA35" s="10"/>
      <c r="AB35" s="10"/>
      <c r="AC35" s="10"/>
      <c r="AD35" s="10"/>
      <c r="AE35" s="10"/>
      <c r="AF35" s="10"/>
      <c r="AG35" s="10"/>
      <c r="AH35" s="10"/>
    </row>
    <row r="36">
      <c r="A36" s="10" t="str">
        <f>IFERROR(__xludf.DUMMYFUNCTION("""COMPUTED_VALUE"""),"")</f>
        <v/>
      </c>
      <c r="B36" s="10" t="str">
        <f>IFERROR(__xludf.DUMMYFUNCTION("""COMPUTED_VALUE"""),"Chevalier du Chaos")</f>
        <v>Chevalier du Chaos</v>
      </c>
      <c r="C36" s="10" t="str">
        <f>IFERROR(__xludf.DUMMYFUNCTION("""COMPUTED_VALUE"""),"Démon")</f>
        <v>Démon</v>
      </c>
      <c r="D36" s="10">
        <f>IFERROR(__xludf.DUMMYFUNCTION("""COMPUTED_VALUE"""),20.0)</f>
        <v>20</v>
      </c>
      <c r="E36" s="10">
        <f>IFERROR(__xludf.DUMMYFUNCTION("""COMPUTED_VALUE"""),2.0)</f>
        <v>2</v>
      </c>
      <c r="F36" s="10" t="str">
        <f>IFERROR(__xludf.DUMMYFUNCTION("""COMPUTED_VALUE"""),"Non")</f>
        <v>Non</v>
      </c>
      <c r="G36" s="10" t="str">
        <f>IFERROR(__xludf.DUMMYFUNCTION("""COMPUTED_VALUE"""),"Non")</f>
        <v>Non</v>
      </c>
      <c r="H36" s="10" t="str">
        <f>IFERROR(__xludf.DUMMYFUNCTION("""COMPUTED_VALUE"""),"Lente")</f>
        <v>Lente</v>
      </c>
      <c r="I36" s="10" t="str">
        <f>IFERROR(__xludf.DUMMYFUNCTION("""COMPUTED_VALUE"""),"Oui")</f>
        <v>Oui</v>
      </c>
      <c r="J36" s="10" t="str">
        <f>IFERROR(__xludf.DUMMYFUNCTION("""COMPUTED_VALUE"""),"Toucher chaotique")</f>
        <v>Toucher chaotique</v>
      </c>
      <c r="K36" s="10" t="str">
        <f>IFERROR(__xludf.DUMMYFUNCTION("""COMPUTED_VALUE"""),"-")</f>
        <v>-</v>
      </c>
      <c r="L36" s="10" t="str">
        <f>IFERROR(__xludf.DUMMYFUNCTION("""COMPUTED_VALUE"""),"180 ±45")</f>
        <v>180 ±45</v>
      </c>
      <c r="M36" s="10" t="str">
        <f>IFERROR(__xludf.DUMMYFUNCTION("""COMPUTED_VALUE"""),"11 ±4")</f>
        <v>11 ±4</v>
      </c>
      <c r="N36" s="10" t="str">
        <f>IFERROR(__xludf.DUMMYFUNCTION("""COMPUTED_VALUE"""),"14 ±4")</f>
        <v>14 ±4</v>
      </c>
      <c r="O36" s="10" t="str">
        <f>IFERROR(__xludf.DUMMYFUNCTION("""COMPUTED_VALUE"""),"12 ±6")</f>
        <v>12 ±6</v>
      </c>
      <c r="P36" s="10" t="str">
        <f>IFERROR(__xludf.DUMMYFUNCTION("""COMPUTED_VALUE"""),"5 ±4")</f>
        <v>5 ±4</v>
      </c>
      <c r="Q36" s="10" t="str">
        <f>IFERROR(__xludf.DUMMYFUNCTION("""COMPUTED_VALUE"""),"6 ±3")</f>
        <v>6 ±3</v>
      </c>
      <c r="R36" s="10" t="str">
        <f>IFERROR(__xludf.DUMMYFUNCTION("""COMPUTED_VALUE"""),"19 ±4")</f>
        <v>19 ±4</v>
      </c>
      <c r="S36" s="10" t="str">
        <f>IFERROR(__xludf.DUMMYFUNCTION("""COMPUTED_VALUE"""),"")</f>
        <v/>
      </c>
      <c r="T36" s="10" t="str">
        <f>IFERROR(__xludf.DUMMYFUNCTION("""COMPUTED_VALUE"""),"")</f>
        <v/>
      </c>
      <c r="U36" s="10" t="str">
        <f>IFERROR(__xludf.DUMMYFUNCTION("""COMPUTED_VALUE"""),"")</f>
        <v/>
      </c>
      <c r="V36" s="10" t="str">
        <f>IFERROR(__xludf.DUMMYFUNCTION("""COMPUTED_VALUE"""),"")</f>
        <v/>
      </c>
      <c r="W36" s="10">
        <f>IFERROR(__xludf.DUMMYFUNCTION("""COMPUTED_VALUE"""),2.0)</f>
        <v>2</v>
      </c>
      <c r="X36" s="10" t="str">
        <f>IFERROR(__xludf.DUMMYFUNCTION("""COMPUTED_VALUE"""),"Non")</f>
        <v>Non</v>
      </c>
      <c r="Y36" s="10"/>
      <c r="Z36" s="10"/>
      <c r="AA36" s="10"/>
      <c r="AB36" s="10"/>
      <c r="AC36" s="10"/>
      <c r="AD36" s="10"/>
      <c r="AE36" s="10"/>
      <c r="AF36" s="10"/>
      <c r="AG36" s="10"/>
      <c r="AH36" s="10"/>
    </row>
    <row r="37">
      <c r="A37" s="10">
        <f>IFERROR(__xludf.DUMMYFUNCTION("""COMPUTED_VALUE"""),80.0)</f>
        <v>80</v>
      </c>
      <c r="B37" s="10" t="str">
        <f>IFERROR(__xludf.DUMMYFUNCTION("""COMPUTED_VALUE"""),"Chimere")</f>
        <v>Chimere</v>
      </c>
      <c r="C37" s="10" t="str">
        <f>IFERROR(__xludf.DUMMYFUNCTION("""COMPUTED_VALUE"""),"Monstre")</f>
        <v>Monstre</v>
      </c>
      <c r="D37" s="10">
        <f>IFERROR(__xludf.DUMMYFUNCTION("""COMPUTED_VALUE"""),13.0)</f>
        <v>13</v>
      </c>
      <c r="E37" s="10">
        <f>IFERROR(__xludf.DUMMYFUNCTION("""COMPUTED_VALUE"""),2.0)</f>
        <v>2</v>
      </c>
      <c r="F37" s="10" t="str">
        <f>IFERROR(__xludf.DUMMYFUNCTION("""COMPUTED_VALUE"""),"Non")</f>
        <v>Non</v>
      </c>
      <c r="G37" s="10" t="str">
        <f>IFERROR(__xludf.DUMMYFUNCTION("""COMPUTED_VALUE"""),"Non")</f>
        <v>Non</v>
      </c>
      <c r="H37" s="10" t="str">
        <f>IFERROR(__xludf.DUMMYFUNCTION("""COMPUTED_VALUE"""),"Normale")</f>
        <v>Normale</v>
      </c>
      <c r="I37" s="10" t="str">
        <f>IFERROR(__xludf.DUMMYFUNCTION("""COMPUTED_VALUE"""),"Oui")</f>
        <v>Oui</v>
      </c>
      <c r="J37" s="10" t="str">
        <f>IFERROR(__xludf.DUMMYFUNCTION("""COMPUTED_VALUE"""),"Souffle de feu - Auto")</f>
        <v>Souffle de feu - Auto</v>
      </c>
      <c r="K37" s="10" t="str">
        <f>IFERROR(__xludf.DUMMYFUNCTION("""COMPUTED_VALUE"""),"-")</f>
        <v>-</v>
      </c>
      <c r="L37" s="10" t="str">
        <f>IFERROR(__xludf.DUMMYFUNCTION("""COMPUTED_VALUE"""),"90 ±30")</f>
        <v>90 ±30</v>
      </c>
      <c r="M37" s="10" t="str">
        <f>IFERROR(__xludf.DUMMYFUNCTION("""COMPUTED_VALUE"""),"7 ±3")</f>
        <v>7 ±3</v>
      </c>
      <c r="N37" s="10" t="str">
        <f>IFERROR(__xludf.DUMMYFUNCTION("""COMPUTED_VALUE"""),"7 ±3")</f>
        <v>7 ±3</v>
      </c>
      <c r="O37" s="10" t="str">
        <f>IFERROR(__xludf.DUMMYFUNCTION("""COMPUTED_VALUE"""),"7 ±3")</f>
        <v>7 ±3</v>
      </c>
      <c r="P37" s="10" t="str">
        <f>IFERROR(__xludf.DUMMYFUNCTION("""COMPUTED_VALUE"""),"4 ±3")</f>
        <v>4 ±3</v>
      </c>
      <c r="Q37" s="10" t="str">
        <f>IFERROR(__xludf.DUMMYFUNCTION("""COMPUTED_VALUE"""),"3 ±1")</f>
        <v>3 ±1</v>
      </c>
      <c r="R37" s="10" t="str">
        <f>IFERROR(__xludf.DUMMYFUNCTION("""COMPUTED_VALUE"""),"4 ±3")</f>
        <v>4 ±3</v>
      </c>
      <c r="S37" s="10" t="str">
        <f>IFERROR(__xludf.DUMMYFUNCTION("""COMPUTED_VALUE"""),"")</f>
        <v/>
      </c>
      <c r="T37" s="10" t="str">
        <f>IFERROR(__xludf.DUMMYFUNCTION("""COMPUTED_VALUE"""),"500 ±300")</f>
        <v>500 ±300</v>
      </c>
      <c r="U37" s="10" t="str">
        <f>IFERROR(__xludf.DUMMYFUNCTION("""COMPUTED_VALUE"""),"200 ±200")</f>
        <v>200 ±200</v>
      </c>
      <c r="V37" s="10" t="str">
        <f>IFERROR(__xludf.DUMMYFUNCTION("""COMPUTED_VALUE"""),"15 ±2")</f>
        <v>15 ±2</v>
      </c>
      <c r="W37" s="10">
        <f>IFERROR(__xludf.DUMMYFUNCTION("""COMPUTED_VALUE"""),48.0)</f>
        <v>48</v>
      </c>
      <c r="X37" s="10" t="str">
        <f>IFERROR(__xludf.DUMMYFUNCTION("""COMPUTED_VALUE"""),"Non")</f>
        <v>Non</v>
      </c>
      <c r="Y37" s="10"/>
      <c r="Z37" s="10"/>
      <c r="AA37" s="10"/>
      <c r="AB37" s="10"/>
      <c r="AC37" s="10"/>
      <c r="AD37" s="10"/>
      <c r="AE37" s="10"/>
      <c r="AF37" s="10"/>
      <c r="AG37" s="10"/>
      <c r="AH37" s="10"/>
    </row>
    <row r="38">
      <c r="A38" s="10">
        <f>IFERROR(__xludf.DUMMYFUNCTION("""COMPUTED_VALUE"""),192.0)</f>
        <v>192</v>
      </c>
      <c r="B38" s="10" t="str">
        <f>IFERROR(__xludf.DUMMYFUNCTION("""COMPUTED_VALUE"""),"Chonchon")</f>
        <v>Chonchon</v>
      </c>
      <c r="C38" s="10" t="str">
        <f>IFERROR(__xludf.DUMMYFUNCTION("""COMPUTED_VALUE"""),"Monstre")</f>
        <v>Monstre</v>
      </c>
      <c r="D38" s="10">
        <f>IFERROR(__xludf.DUMMYFUNCTION("""COMPUTED_VALUE"""),24.0)</f>
        <v>24</v>
      </c>
      <c r="E38" s="10">
        <f>IFERROR(__xludf.DUMMYFUNCTION("""COMPUTED_VALUE"""),1.0)</f>
        <v>1</v>
      </c>
      <c r="F38" s="10" t="str">
        <f>IFERROR(__xludf.DUMMYFUNCTION("""COMPUTED_VALUE"""),"")</f>
        <v/>
      </c>
      <c r="G38" s="10" t="str">
        <f>IFERROR(__xludf.DUMMYFUNCTION("""COMPUTED_VALUE"""),"Non")</f>
        <v>Non</v>
      </c>
      <c r="H38" s="10" t="str">
        <f>IFERROR(__xludf.DUMMYFUNCTION("""COMPUTED_VALUE"""),"Lente")</f>
        <v>Lente</v>
      </c>
      <c r="I38" s="10" t="str">
        <f>IFERROR(__xludf.DUMMYFUNCTION("""COMPUTED_VALUE"""),"Non")</f>
        <v>Non</v>
      </c>
      <c r="J38" s="10" t="str">
        <f>IFERROR(__xludf.DUMMYFUNCTION("""COMPUTED_VALUE"""),"-")</f>
        <v>-</v>
      </c>
      <c r="K38" s="10" t="str">
        <f>IFERROR(__xludf.DUMMYFUNCTION("""COMPUTED_VALUE"""),"Grignotage")</f>
        <v>Grignotage</v>
      </c>
      <c r="L38" s="10" t="str">
        <f>IFERROR(__xludf.DUMMYFUNCTION("""COMPUTED_VALUE"""),"190 ±50")</f>
        <v>190 ±50</v>
      </c>
      <c r="M38" s="10" t="str">
        <f>IFERROR(__xludf.DUMMYFUNCTION("""COMPUTED_VALUE"""),"5 ±3")</f>
        <v>5 ±3</v>
      </c>
      <c r="N38" s="10" t="str">
        <f>IFERROR(__xludf.DUMMYFUNCTION("""COMPUTED_VALUE"""),"15 ±3")</f>
        <v>15 ±3</v>
      </c>
      <c r="O38" s="10" t="str">
        <f>IFERROR(__xludf.DUMMYFUNCTION("""COMPUTED_VALUE"""),"5 ±3")</f>
        <v>5 ±3</v>
      </c>
      <c r="P38" s="10" t="str">
        <f>IFERROR(__xludf.DUMMYFUNCTION("""COMPUTED_VALUE"""),"5 ±3")</f>
        <v>5 ±3</v>
      </c>
      <c r="Q38" s="10" t="str">
        <f>IFERROR(__xludf.DUMMYFUNCTION("""COMPUTED_VALUE"""),"6 ±2")</f>
        <v>6 ±2</v>
      </c>
      <c r="R38" s="10" t="str">
        <f>IFERROR(__xludf.DUMMYFUNCTION("""COMPUTED_VALUE"""),"15 ±3")</f>
        <v>15 ±3</v>
      </c>
      <c r="S38" s="10" t="str">
        <f>IFERROR(__xludf.DUMMYFUNCTION("""COMPUTED_VALUE"""),"")</f>
        <v/>
      </c>
      <c r="T38" s="10" t="str">
        <f>IFERROR(__xludf.DUMMYFUNCTION("""COMPUTED_VALUE"""),"1900 ±600")</f>
        <v>1900 ±600</v>
      </c>
      <c r="U38" s="10" t="str">
        <f>IFERROR(__xludf.DUMMYFUNCTION("""COMPUTED_VALUE"""),"2000 ±500")</f>
        <v>2000 ±500</v>
      </c>
      <c r="V38" s="10" t="str">
        <f>IFERROR(__xludf.DUMMYFUNCTION("""COMPUTED_VALUE"""),"8 ±3")</f>
        <v>8 ±3</v>
      </c>
      <c r="W38" s="10">
        <f>IFERROR(__xludf.DUMMYFUNCTION("""COMPUTED_VALUE"""),72.0)</f>
        <v>72</v>
      </c>
      <c r="X38" s="10" t="str">
        <f>IFERROR(__xludf.DUMMYFUNCTION("""COMPUTED_VALUE"""),"Non")</f>
        <v>Non</v>
      </c>
      <c r="Y38" s="10"/>
      <c r="Z38" s="10"/>
      <c r="AA38" s="10"/>
      <c r="AB38" s="10"/>
      <c r="AC38" s="10"/>
      <c r="AD38" s="10"/>
      <c r="AE38" s="10"/>
      <c r="AF38" s="10"/>
      <c r="AG38" s="10"/>
      <c r="AH38" s="10"/>
    </row>
    <row r="39">
      <c r="A39" s="10">
        <f>IFERROR(__xludf.DUMMYFUNCTION("""COMPUTED_VALUE"""),206.0)</f>
        <v>206</v>
      </c>
      <c r="B39" s="10" t="str">
        <f>IFERROR(__xludf.DUMMYFUNCTION("""COMPUTED_VALUE"""),"Coccicruelle")</f>
        <v>Coccicruelle</v>
      </c>
      <c r="C39" s="10" t="str">
        <f>IFERROR(__xludf.DUMMYFUNCTION("""COMPUTED_VALUE"""),"Insecte")</f>
        <v>Insecte</v>
      </c>
      <c r="D39" s="10">
        <f>IFERROR(__xludf.DUMMYFUNCTION("""COMPUTED_VALUE"""),22.0)</f>
        <v>22</v>
      </c>
      <c r="E39" s="10">
        <f>IFERROR(__xludf.DUMMYFUNCTION("""COMPUTED_VALUE"""),1.0)</f>
        <v>1</v>
      </c>
      <c r="F39" s="10" t="str">
        <f>IFERROR(__xludf.DUMMYFUNCTION("""COMPUTED_VALUE"""),"Non")</f>
        <v>Non</v>
      </c>
      <c r="G39" s="10" t="str">
        <f>IFERROR(__xludf.DUMMYFUNCTION("""COMPUTED_VALUE"""),"Non")</f>
        <v>Non</v>
      </c>
      <c r="H39" s="10" t="str">
        <f>IFERROR(__xludf.DUMMYFUNCTION("""COMPUTED_VALUE"""),"Normale")</f>
        <v>Normale</v>
      </c>
      <c r="I39" s="10" t="str">
        <f>IFERROR(__xludf.DUMMYFUNCTION("""COMPUTED_VALUE"""),"Non")</f>
        <v>Non</v>
      </c>
      <c r="J39" s="10" t="str">
        <f>IFERROR(__xludf.DUMMYFUNCTION("""COMPUTED_VALUE"""),"-")</f>
        <v>-</v>
      </c>
      <c r="K39" s="10" t="str">
        <f>IFERROR(__xludf.DUMMYFUNCTION("""COMPUTED_VALUE"""),"Mort : Alea")</f>
        <v>Mort : Alea</v>
      </c>
      <c r="L39" s="10" t="str">
        <f>IFERROR(__xludf.DUMMYFUNCTION("""COMPUTED_VALUE"""),"85 ±30")</f>
        <v>85 ±30</v>
      </c>
      <c r="M39" s="10" t="str">
        <f>IFERROR(__xludf.DUMMYFUNCTION("""COMPUTED_VALUE"""),"13 ±4")</f>
        <v>13 ±4</v>
      </c>
      <c r="N39" s="10" t="str">
        <f>IFERROR(__xludf.DUMMYFUNCTION("""COMPUTED_VALUE"""),"11 ±4")</f>
        <v>11 ±4</v>
      </c>
      <c r="O39" s="10" t="str">
        <f>IFERROR(__xludf.DUMMYFUNCTION("""COMPUTED_VALUE"""),"9 ±3")</f>
        <v>9 ±3</v>
      </c>
      <c r="P39" s="10" t="str">
        <f>IFERROR(__xludf.DUMMYFUNCTION("""COMPUTED_VALUE"""),"5 ±3")</f>
        <v>5 ±3</v>
      </c>
      <c r="Q39" s="10" t="str">
        <f>IFERROR(__xludf.DUMMYFUNCTION("""COMPUTED_VALUE"""),"3 ±1")</f>
        <v>3 ±1</v>
      </c>
      <c r="R39" s="10" t="str">
        <f>IFERROR(__xludf.DUMMYFUNCTION("""COMPUTED_VALUE"""),"5 ±3")</f>
        <v>5 ±3</v>
      </c>
      <c r="S39" s="10" t="str">
        <f>IFERROR(__xludf.DUMMYFUNCTION("""COMPUTED_VALUE"""),"")</f>
        <v/>
      </c>
      <c r="T39" s="10" t="str">
        <f>IFERROR(__xludf.DUMMYFUNCTION("""COMPUTED_VALUE"""),"1000 ±300")</f>
        <v>1000 ±300</v>
      </c>
      <c r="U39" s="10" t="str">
        <f>IFERROR(__xludf.DUMMYFUNCTION("""COMPUTED_VALUE"""),"300 ±200")</f>
        <v>300 ±200</v>
      </c>
      <c r="V39" s="10" t="str">
        <f>IFERROR(__xludf.DUMMYFUNCTION("""COMPUTED_VALUE"""),"10 ±3")</f>
        <v>10 ±3</v>
      </c>
      <c r="W39" s="10">
        <f>IFERROR(__xludf.DUMMYFUNCTION("""COMPUTED_VALUE"""),91.0)</f>
        <v>91</v>
      </c>
      <c r="X39" s="10" t="str">
        <f>IFERROR(__xludf.DUMMYFUNCTION("""COMPUTED_VALUE"""),"Oui")</f>
        <v>Oui</v>
      </c>
      <c r="Y39" s="10"/>
      <c r="Z39" s="10"/>
      <c r="AA39" s="10"/>
      <c r="AB39" s="10"/>
      <c r="AC39" s="10"/>
      <c r="AD39" s="10"/>
      <c r="AE39" s="10"/>
      <c r="AF39" s="10"/>
      <c r="AG39" s="10"/>
      <c r="AH39" s="10"/>
    </row>
    <row r="40">
      <c r="A40" s="10">
        <f>IFERROR(__xludf.DUMMYFUNCTION("""COMPUTED_VALUE"""),81.0)</f>
        <v>81</v>
      </c>
      <c r="B40" s="10" t="str">
        <f>IFERROR(__xludf.DUMMYFUNCTION("""COMPUTED_VALUE"""),"Cockatrice")</f>
        <v>Cockatrice</v>
      </c>
      <c r="C40" s="10" t="str">
        <f>IFERROR(__xludf.DUMMYFUNCTION("""COMPUTED_VALUE"""),"Monstre")</f>
        <v>Monstre</v>
      </c>
      <c r="D40" s="10">
        <f>IFERROR(__xludf.DUMMYFUNCTION("""COMPUTED_VALUE"""),5.0)</f>
        <v>5</v>
      </c>
      <c r="E40" s="10">
        <f>IFERROR(__xludf.DUMMYFUNCTION("""COMPUTED_VALUE"""),1.0)</f>
        <v>1</v>
      </c>
      <c r="F40" s="10" t="str">
        <f>IFERROR(__xludf.DUMMYFUNCTION("""COMPUTED_VALUE"""),"")</f>
        <v/>
      </c>
      <c r="G40" s="10" t="str">
        <f>IFERROR(__xludf.DUMMYFUNCTION("""COMPUTED_VALUE"""),"Non")</f>
        <v>Non</v>
      </c>
      <c r="H40" s="10" t="str">
        <f>IFERROR(__xludf.DUMMYFUNCTION("""COMPUTED_VALUE"""),"Normale")</f>
        <v>Normale</v>
      </c>
      <c r="I40" s="10" t="str">
        <f>IFERROR(__xludf.DUMMYFUNCTION("""COMPUTED_VALUE"""),"Non")</f>
        <v>Non</v>
      </c>
      <c r="J40" s="10" t="str">
        <f>IFERROR(__xludf.DUMMYFUNCTION("""COMPUTED_VALUE"""),"Pétrification - Toucher")</f>
        <v>Pétrification - Toucher</v>
      </c>
      <c r="K40" s="10" t="str">
        <f>IFERROR(__xludf.DUMMYFUNCTION("""COMPUTED_VALUE"""),"-")</f>
        <v>-</v>
      </c>
      <c r="L40" s="10" t="str">
        <f>IFERROR(__xludf.DUMMYFUNCTION("""COMPUTED_VALUE"""),"50 ±25")</f>
        <v>50 ±25</v>
      </c>
      <c r="M40" s="10" t="str">
        <f>IFERROR(__xludf.DUMMYFUNCTION("""COMPUTED_VALUE"""),"5 ±3")</f>
        <v>5 ±3</v>
      </c>
      <c r="N40" s="10" t="str">
        <f>IFERROR(__xludf.DUMMYFUNCTION("""COMPUTED_VALUE"""),"5 ±3")</f>
        <v>5 ±3</v>
      </c>
      <c r="O40" s="10" t="str">
        <f>IFERROR(__xludf.DUMMYFUNCTION("""COMPUTED_VALUE"""),"5 ±3")</f>
        <v>5 ±3</v>
      </c>
      <c r="P40" s="10" t="str">
        <f>IFERROR(__xludf.DUMMYFUNCTION("""COMPUTED_VALUE"""),"3 ±2")</f>
        <v>3 ±2</v>
      </c>
      <c r="Q40" s="10" t="str">
        <f>IFERROR(__xludf.DUMMYFUNCTION("""COMPUTED_VALUE"""),"2 ±1")</f>
        <v>2 ±1</v>
      </c>
      <c r="R40" s="10" t="str">
        <f>IFERROR(__xludf.DUMMYFUNCTION("""COMPUTED_VALUE"""),"3 ±2")</f>
        <v>3 ±2</v>
      </c>
      <c r="S40" s="10" t="str">
        <f>IFERROR(__xludf.DUMMYFUNCTION("""COMPUTED_VALUE"""),"")</f>
        <v/>
      </c>
      <c r="T40" s="10" t="str">
        <f>IFERROR(__xludf.DUMMYFUNCTION("""COMPUTED_VALUE"""),"300 ±300")</f>
        <v>300 ±300</v>
      </c>
      <c r="U40" s="10" t="str">
        <f>IFERROR(__xludf.DUMMYFUNCTION("""COMPUTED_VALUE"""),"200 ±200")</f>
        <v>200 ±200</v>
      </c>
      <c r="V40" s="10" t="str">
        <f>IFERROR(__xludf.DUMMYFUNCTION("""COMPUTED_VALUE"""),"14 ±3")</f>
        <v>14 ±3</v>
      </c>
      <c r="W40" s="10">
        <f>IFERROR(__xludf.DUMMYFUNCTION("""COMPUTED_VALUE"""),18.0)</f>
        <v>18</v>
      </c>
      <c r="X40" s="10" t="str">
        <f>IFERROR(__xludf.DUMMYFUNCTION("""COMPUTED_VALUE"""),"Oui")</f>
        <v>Oui</v>
      </c>
      <c r="Y40" s="10"/>
      <c r="Z40" s="10"/>
      <c r="AA40" s="10"/>
      <c r="AB40" s="10"/>
      <c r="AC40" s="10"/>
      <c r="AD40" s="10"/>
      <c r="AE40" s="10"/>
      <c r="AF40" s="10"/>
      <c r="AG40" s="10"/>
      <c r="AH40" s="10"/>
    </row>
    <row r="41">
      <c r="A41" s="10" t="str">
        <f>IFERROR(__xludf.DUMMYFUNCTION("""COMPUTED_VALUE"""),"*Id*")</f>
        <v>*Id*</v>
      </c>
      <c r="B41" s="10" t="str">
        <f>IFERROR(__xludf.DUMMYFUNCTION("""COMPUTED_VALUE"""),"*Nom*")</f>
        <v>*Nom*</v>
      </c>
      <c r="C41" s="10" t="str">
        <f>IFERROR(__xludf.DUMMYFUNCTION("""COMPUTED_VALUE"""),"*Famille*")</f>
        <v>*Famille*</v>
      </c>
      <c r="D41" s="10" t="str">
        <f>IFERROR(__xludf.DUMMYFUNCTION("""COMPUTED_VALUE"""),"*Niv*")</f>
        <v>*Niv*</v>
      </c>
      <c r="E41" s="10" t="str">
        <f>IFERROR(__xludf.DUMMYFUNCTION("""COMPUTED_VALUE"""),"*Nb att*")</f>
        <v>*Nb att*</v>
      </c>
      <c r="F41" s="10" t="str">
        <f>IFERROR(__xludf.DUMMYFUNCTION("""COMPUTED_VALUE"""),"*Att mag*")</f>
        <v>*Att mag*</v>
      </c>
      <c r="G41" s="10" t="str">
        <f>IFERROR(__xludf.DUMMYFUNCTION("""COMPUTED_VALUE"""),"*Att dist*")</f>
        <v>*Att dist*</v>
      </c>
      <c r="H41" s="10" t="str">
        <f>IFERROR(__xludf.DUMMYFUNCTION("""COMPUTED_VALUE"""),"*Vit*")</f>
        <v>*Vit*</v>
      </c>
      <c r="I41" s="10" t="str">
        <f>IFERROR(__xludf.DUMMYFUNCTION("""COMPUTED_VALUE"""),"*VlC*")</f>
        <v>*VlC*</v>
      </c>
      <c r="J41" s="10" t="str">
        <f>IFERROR(__xludf.DUMMYFUNCTION("""COMPUTED_VALUE"""),"*Pouvoir 1*")</f>
        <v>*Pouvoir 1*</v>
      </c>
      <c r="K41" s="10" t="str">
        <f>IFERROR(__xludf.DUMMYFUNCTION("""COMPUTED_VALUE"""),"*Pouvoir 2*")</f>
        <v>*Pouvoir 2*</v>
      </c>
      <c r="L41" s="10" t="str">
        <f>IFERROR(__xludf.DUMMYFUNCTION("""COMPUTED_VALUE"""),"*PV*")</f>
        <v>*PV*</v>
      </c>
      <c r="M41" s="10" t="str">
        <f>IFERROR(__xludf.DUMMYFUNCTION("""COMPUTED_VALUE"""),"*Att*")</f>
        <v>*Att*</v>
      </c>
      <c r="N41" s="10" t="str">
        <f>IFERROR(__xludf.DUMMYFUNCTION("""COMPUTED_VALUE"""),"*Esq*")</f>
        <v>*Esq*</v>
      </c>
      <c r="O41" s="10" t="str">
        <f>IFERROR(__xludf.DUMMYFUNCTION("""COMPUTED_VALUE"""),"*Dégât*")</f>
        <v>*Dégât*</v>
      </c>
      <c r="P41" s="10" t="str">
        <f>IFERROR(__xludf.DUMMYFUNCTION("""COMPUTED_VALUE"""),"*Vue*")</f>
        <v>*Vue*</v>
      </c>
      <c r="Q41" s="10" t="str">
        <f>IFERROR(__xludf.DUMMYFUNCTION("""COMPUTED_VALUE"""),"*Régen*")</f>
        <v>*Régen*</v>
      </c>
      <c r="R41" s="10" t="str">
        <f>IFERROR(__xludf.DUMMYFUNCTION("""COMPUTED_VALUE"""),"*Arm phy*")</f>
        <v>*Arm phy*</v>
      </c>
      <c r="S41" s="10" t="str">
        <f>IFERROR(__xludf.DUMMYFUNCTION("""COMPUTED_VALUE"""),"*Arm mag*")</f>
        <v>*Arm mag*</v>
      </c>
      <c r="T41" s="10" t="str">
        <f>IFERROR(__xludf.DUMMYFUNCTION("""COMPUTED_VALUE"""),"*MM*")</f>
        <v>*MM*</v>
      </c>
      <c r="U41" s="10" t="str">
        <f>IFERROR(__xludf.DUMMYFUNCTION("""COMPUTED_VALUE"""),"*RM*")</f>
        <v>*RM*</v>
      </c>
      <c r="V41" s="10" t="str">
        <f>IFERROR(__xludf.DUMMYFUNCTION("""COMPUTED_VALUE"""),"*DLA*")</f>
        <v>*DLA*</v>
      </c>
      <c r="W41" s="10" t="str">
        <f>IFERROR(__xludf.DUMMYFUNCTION("""COMPUTED_VALUE"""),"*Echant*")</f>
        <v>*Echant*</v>
      </c>
      <c r="X41" s="10" t="str">
        <f>IFERROR(__xludf.DUMMYFUNCTION("""COMPUTED_VALUE"""),"*Vole*")</f>
        <v>*Vole*</v>
      </c>
      <c r="Y41" s="10"/>
      <c r="Z41" s="10"/>
      <c r="AA41" s="10"/>
      <c r="AB41" s="10"/>
      <c r="AC41" s="10"/>
      <c r="AD41" s="10"/>
      <c r="AE41" s="10"/>
      <c r="AF41" s="10"/>
      <c r="AG41" s="10"/>
      <c r="AH41" s="10"/>
    </row>
    <row r="42">
      <c r="A42" s="10">
        <f>IFERROR(__xludf.DUMMYFUNCTION("""COMPUTED_VALUE"""),189.0)</f>
        <v>189</v>
      </c>
      <c r="B42" s="10" t="str">
        <f>IFERROR(__xludf.DUMMYFUNCTION("""COMPUTED_VALUE"""),"Crasc")</f>
        <v>Crasc</v>
      </c>
      <c r="C42" s="10" t="str">
        <f>IFERROR(__xludf.DUMMYFUNCTION("""COMPUTED_VALUE"""),"Monstre")</f>
        <v>Monstre</v>
      </c>
      <c r="D42" s="10">
        <f>IFERROR(__xludf.DUMMYFUNCTION("""COMPUTED_VALUE"""),10.0)</f>
        <v>10</v>
      </c>
      <c r="E42" s="10">
        <f>IFERROR(__xludf.DUMMYFUNCTION("""COMPUTED_VALUE"""),1.0)</f>
        <v>1</v>
      </c>
      <c r="F42" s="10" t="str">
        <f>IFERROR(__xludf.DUMMYFUNCTION("""COMPUTED_VALUE"""),"")</f>
        <v/>
      </c>
      <c r="G42" s="10" t="str">
        <f>IFERROR(__xludf.DUMMYFUNCTION("""COMPUTED_VALUE"""),"Non")</f>
        <v>Non</v>
      </c>
      <c r="H42" s="10" t="str">
        <f>IFERROR(__xludf.DUMMYFUNCTION("""COMPUTED_VALUE"""),"Rapide")</f>
        <v>Rapide</v>
      </c>
      <c r="I42" s="10" t="str">
        <f>IFERROR(__xludf.DUMMYFUNCTION("""COMPUTED_VALUE"""),"Non")</f>
        <v>Non</v>
      </c>
      <c r="J42" s="10" t="str">
        <f>IFERROR(__xludf.DUMMYFUNCTION("""COMPUTED_VALUE"""),"Absorption de pouvoir - Zone")</f>
        <v>Absorption de pouvoir - Zone</v>
      </c>
      <c r="K42" s="10" t="str">
        <f>IFERROR(__xludf.DUMMYFUNCTION("""COMPUTED_VALUE"""),"-")</f>
        <v>-</v>
      </c>
      <c r="L42" s="10" t="str">
        <f>IFERROR(__xludf.DUMMYFUNCTION("""COMPUTED_VALUE"""),"90 ±35")</f>
        <v>90 ±35</v>
      </c>
      <c r="M42" s="10">
        <f>IFERROR(__xludf.DUMMYFUNCTION("""COMPUTED_VALUE"""),0.0)</f>
        <v>0</v>
      </c>
      <c r="N42" s="10" t="str">
        <f>IFERROR(__xludf.DUMMYFUNCTION("""COMPUTED_VALUE"""),"5 ±3")</f>
        <v>5 ±3</v>
      </c>
      <c r="O42" s="10" t="str">
        <f>IFERROR(__xludf.DUMMYFUNCTION("""COMPUTED_VALUE"""),"1 ±1")</f>
        <v>1 ±1</v>
      </c>
      <c r="P42" s="10" t="str">
        <f>IFERROR(__xludf.DUMMYFUNCTION("""COMPUTED_VALUE"""),"5 ±3")</f>
        <v>5 ±3</v>
      </c>
      <c r="Q42" s="10" t="str">
        <f>IFERROR(__xludf.DUMMYFUNCTION("""COMPUTED_VALUE"""),"9 ±2")</f>
        <v>9 ±2</v>
      </c>
      <c r="R42" s="10" t="str">
        <f>IFERROR(__xludf.DUMMYFUNCTION("""COMPUTED_VALUE"""),"10 ±3")</f>
        <v>10 ±3</v>
      </c>
      <c r="S42" s="10" t="str">
        <f>IFERROR(__xludf.DUMMYFUNCTION("""COMPUTED_VALUE"""),"")</f>
        <v/>
      </c>
      <c r="T42" s="10" t="str">
        <f>IFERROR(__xludf.DUMMYFUNCTION("""COMPUTED_VALUE"""),"100 ±100")</f>
        <v>100 ±100</v>
      </c>
      <c r="U42" s="10" t="str">
        <f>IFERROR(__xludf.DUMMYFUNCTION("""COMPUTED_VALUE"""),"500 ±300")</f>
        <v>500 ±300</v>
      </c>
      <c r="V42" s="10" t="str">
        <f>IFERROR(__xludf.DUMMYFUNCTION("""COMPUTED_VALUE"""),"12 ±3")</f>
        <v>12 ±3</v>
      </c>
      <c r="W42" s="10">
        <f>IFERROR(__xludf.DUMMYFUNCTION("""COMPUTED_VALUE"""),39.0)</f>
        <v>39</v>
      </c>
      <c r="X42" s="10" t="str">
        <f>IFERROR(__xludf.DUMMYFUNCTION("""COMPUTED_VALUE"""),"Oui")</f>
        <v>Oui</v>
      </c>
      <c r="Y42" s="10"/>
      <c r="Z42" s="10"/>
      <c r="AA42" s="10"/>
      <c r="AB42" s="10"/>
      <c r="AC42" s="10"/>
      <c r="AD42" s="10"/>
      <c r="AE42" s="10"/>
      <c r="AF42" s="10"/>
      <c r="AG42" s="10"/>
      <c r="AH42" s="10"/>
    </row>
    <row r="43">
      <c r="A43" s="10">
        <f>IFERROR(__xludf.DUMMYFUNCTION("""COMPUTED_VALUE"""),209.0)</f>
        <v>209</v>
      </c>
      <c r="B43" s="10" t="str">
        <f>IFERROR(__xludf.DUMMYFUNCTION("""COMPUTED_VALUE"""),"Crasc Maexus")</f>
        <v>Crasc Maexus</v>
      </c>
      <c r="C43" s="10" t="str">
        <f>IFERROR(__xludf.DUMMYFUNCTION("""COMPUTED_VALUE"""),"Monstre")</f>
        <v>Monstre</v>
      </c>
      <c r="D43" s="10">
        <f>IFERROR(__xludf.DUMMYFUNCTION("""COMPUTED_VALUE"""),25.0)</f>
        <v>25</v>
      </c>
      <c r="E43" s="10">
        <f>IFERROR(__xludf.DUMMYFUNCTION("""COMPUTED_VALUE"""),1.0)</f>
        <v>1</v>
      </c>
      <c r="F43" s="10" t="str">
        <f>IFERROR(__xludf.DUMMYFUNCTION("""COMPUTED_VALUE"""),"Non")</f>
        <v>Non</v>
      </c>
      <c r="G43" s="10" t="str">
        <f>IFERROR(__xludf.DUMMYFUNCTION("""COMPUTED_VALUE"""),"Non")</f>
        <v>Non</v>
      </c>
      <c r="H43" s="10" t="str">
        <f>IFERROR(__xludf.DUMMYFUNCTION("""COMPUTED_VALUE"""),"Rapide")</f>
        <v>Rapide</v>
      </c>
      <c r="I43" s="10" t="str">
        <f>IFERROR(__xludf.DUMMYFUNCTION("""COMPUTED_VALUE"""),"Non")</f>
        <v>Non</v>
      </c>
      <c r="J43" s="10" t="str">
        <f>IFERROR(__xludf.DUMMYFUNCTION("""COMPUTED_VALUE"""),"Absorption de pouvoir - Zone (-1rm / -1%, -1-4% répartition fonction age)")</f>
        <v>Absorption de pouvoir - Zone (-1rm / -1%, -1-4% répartition fonction age)</v>
      </c>
      <c r="K43" s="10" t="str">
        <f>IFERROR(__xludf.DUMMYFUNCTION("""COMPUTED_VALUE"""),"-")</f>
        <v>-</v>
      </c>
      <c r="L43" s="10" t="str">
        <f>IFERROR(__xludf.DUMMYFUNCTION("""COMPUTED_VALUE"""),"340 ±85")</f>
        <v>340 ±85</v>
      </c>
      <c r="M43" s="10">
        <f>IFERROR(__xludf.DUMMYFUNCTION("""COMPUTED_VALUE"""),0.0)</f>
        <v>0</v>
      </c>
      <c r="N43" s="10" t="str">
        <f>IFERROR(__xludf.DUMMYFUNCTION("""COMPUTED_VALUE"""),"15 ±4")</f>
        <v>15 ±4</v>
      </c>
      <c r="O43" s="10" t="str">
        <f>IFERROR(__xludf.DUMMYFUNCTION("""COMPUTED_VALUE"""),"1 ±1")</f>
        <v>1 ±1</v>
      </c>
      <c r="P43" s="10" t="str">
        <f>IFERROR(__xludf.DUMMYFUNCTION("""COMPUTED_VALUE"""),"5 ±3")</f>
        <v>5 ±3</v>
      </c>
      <c r="Q43" s="10" t="str">
        <f>IFERROR(__xludf.DUMMYFUNCTION("""COMPUTED_VALUE"""),"15 ±3")</f>
        <v>15 ±3</v>
      </c>
      <c r="R43" s="10" t="str">
        <f>IFERROR(__xludf.DUMMYFUNCTION("""COMPUTED_VALUE"""),"20 ±4")</f>
        <v>20 ±4</v>
      </c>
      <c r="S43" s="10" t="str">
        <f>IFERROR(__xludf.DUMMYFUNCTION("""COMPUTED_VALUE"""),"")</f>
        <v/>
      </c>
      <c r="T43" s="10" t="str">
        <f>IFERROR(__xludf.DUMMYFUNCTION("""COMPUTED_VALUE"""),"100 ±200")</f>
        <v>100 ±200</v>
      </c>
      <c r="U43" s="10" t="str">
        <f>IFERROR(__xludf.DUMMYFUNCTION("""COMPUTED_VALUE"""),"3000 ±700")</f>
        <v>3000 ±700</v>
      </c>
      <c r="V43" s="10" t="str">
        <f>IFERROR(__xludf.DUMMYFUNCTION("""COMPUTED_VALUE"""),"8 ±3")</f>
        <v>8 ±3</v>
      </c>
      <c r="W43" s="10">
        <f>IFERROR(__xludf.DUMMYFUNCTION("""COMPUTED_VALUE"""),112.0)</f>
        <v>112</v>
      </c>
      <c r="X43" s="10" t="str">
        <f>IFERROR(__xludf.DUMMYFUNCTION("""COMPUTED_VALUE"""),"Oui")</f>
        <v>Oui</v>
      </c>
      <c r="Y43" s="10"/>
      <c r="Z43" s="10"/>
      <c r="AA43" s="10"/>
      <c r="AB43" s="10"/>
      <c r="AC43" s="10"/>
      <c r="AD43" s="10"/>
      <c r="AE43" s="10"/>
      <c r="AF43" s="10"/>
      <c r="AG43" s="10"/>
      <c r="AH43" s="10"/>
    </row>
    <row r="44">
      <c r="A44" s="10">
        <f>IFERROR(__xludf.DUMMYFUNCTION("""COMPUTED_VALUE"""),190.0)</f>
        <v>190</v>
      </c>
      <c r="B44" s="10" t="str">
        <f>IFERROR(__xludf.DUMMYFUNCTION("""COMPUTED_VALUE"""),"Crasc Medius")</f>
        <v>Crasc Medius</v>
      </c>
      <c r="C44" s="10" t="str">
        <f>IFERROR(__xludf.DUMMYFUNCTION("""COMPUTED_VALUE"""),"Monstre")</f>
        <v>Monstre</v>
      </c>
      <c r="D44" s="10">
        <f>IFERROR(__xludf.DUMMYFUNCTION("""COMPUTED_VALUE"""),17.0)</f>
        <v>17</v>
      </c>
      <c r="E44" s="10">
        <f>IFERROR(__xludf.DUMMYFUNCTION("""COMPUTED_VALUE"""),1.0)</f>
        <v>1</v>
      </c>
      <c r="F44" s="10" t="str">
        <f>IFERROR(__xludf.DUMMYFUNCTION("""COMPUTED_VALUE"""),"")</f>
        <v/>
      </c>
      <c r="G44" s="10" t="str">
        <f>IFERROR(__xludf.DUMMYFUNCTION("""COMPUTED_VALUE"""),"Non")</f>
        <v>Non</v>
      </c>
      <c r="H44" s="10" t="str">
        <f>IFERROR(__xludf.DUMMYFUNCTION("""COMPUTED_VALUE"""),"Rapide")</f>
        <v>Rapide</v>
      </c>
      <c r="I44" s="10" t="str">
        <f>IFERROR(__xludf.DUMMYFUNCTION("""COMPUTED_VALUE"""),"Non")</f>
        <v>Non</v>
      </c>
      <c r="J44" s="10" t="str">
        <f>IFERROR(__xludf.DUMMYFUNCTION("""COMPUTED_VALUE"""),"Absorption de pouvoir - Zone")</f>
        <v>Absorption de pouvoir - Zone</v>
      </c>
      <c r="K44" s="10" t="str">
        <f>IFERROR(__xludf.DUMMYFUNCTION("""COMPUTED_VALUE"""),"-")</f>
        <v>-</v>
      </c>
      <c r="L44" s="10" t="str">
        <f>IFERROR(__xludf.DUMMYFUNCTION("""COMPUTED_VALUE"""),"250 ±70")</f>
        <v>250 ±70</v>
      </c>
      <c r="M44" s="10">
        <f>IFERROR(__xludf.DUMMYFUNCTION("""COMPUTED_VALUE"""),0.0)</f>
        <v>0</v>
      </c>
      <c r="N44" s="10" t="str">
        <f>IFERROR(__xludf.DUMMYFUNCTION("""COMPUTED_VALUE"""),"14 ±4")</f>
        <v>14 ±4</v>
      </c>
      <c r="O44" s="10" t="str">
        <f>IFERROR(__xludf.DUMMYFUNCTION("""COMPUTED_VALUE"""),"1 ±1")</f>
        <v>1 ±1</v>
      </c>
      <c r="P44" s="10" t="str">
        <f>IFERROR(__xludf.DUMMYFUNCTION("""COMPUTED_VALUE"""),"5 ±3")</f>
        <v>5 ±3</v>
      </c>
      <c r="Q44" s="10" t="str">
        <f>IFERROR(__xludf.DUMMYFUNCTION("""COMPUTED_VALUE"""),"10 ±2")</f>
        <v>10 ±2</v>
      </c>
      <c r="R44" s="10" t="str">
        <f>IFERROR(__xludf.DUMMYFUNCTION("""COMPUTED_VALUE"""),"20 ±4")</f>
        <v>20 ±4</v>
      </c>
      <c r="S44" s="10" t="str">
        <f>IFERROR(__xludf.DUMMYFUNCTION("""COMPUTED_VALUE"""),"")</f>
        <v/>
      </c>
      <c r="T44" s="10" t="str">
        <f>IFERROR(__xludf.DUMMYFUNCTION("""COMPUTED_VALUE"""),"0 ±100")</f>
        <v>0 ±100</v>
      </c>
      <c r="U44" s="10" t="str">
        <f>IFERROR(__xludf.DUMMYFUNCTION("""COMPUTED_VALUE"""),"1000 ±300")</f>
        <v>1000 ±300</v>
      </c>
      <c r="V44" s="10" t="str">
        <f>IFERROR(__xludf.DUMMYFUNCTION("""COMPUTED_VALUE"""),"10 ±3")</f>
        <v>10 ±3</v>
      </c>
      <c r="W44" s="10">
        <f>IFERROR(__xludf.DUMMYFUNCTION("""COMPUTED_VALUE"""),101.0)</f>
        <v>101</v>
      </c>
      <c r="X44" s="10" t="str">
        <f>IFERROR(__xludf.DUMMYFUNCTION("""COMPUTED_VALUE"""),"Oui")</f>
        <v>Oui</v>
      </c>
      <c r="Y44" s="10"/>
      <c r="Z44" s="10"/>
      <c r="AA44" s="10"/>
      <c r="AB44" s="10"/>
      <c r="AC44" s="10"/>
      <c r="AD44" s="10"/>
      <c r="AE44" s="10"/>
      <c r="AF44" s="10"/>
      <c r="AG44" s="10"/>
      <c r="AH44" s="10"/>
    </row>
    <row r="45">
      <c r="A45" s="10" t="str">
        <f>IFERROR(__xludf.DUMMYFUNCTION("""COMPUTED_VALUE"""),"")</f>
        <v/>
      </c>
      <c r="B45" s="10" t="str">
        <f>IFERROR(__xludf.DUMMYFUNCTION("""COMPUTED_VALUE"""),"Crasc parasitus")</f>
        <v>Crasc parasitus</v>
      </c>
      <c r="C45" s="10" t="str">
        <f>IFERROR(__xludf.DUMMYFUNCTION("""COMPUTED_VALUE"""),"Monstre")</f>
        <v>Monstre</v>
      </c>
      <c r="D45" s="10" t="str">
        <f>IFERROR(__xludf.DUMMYFUNCTION("""COMPUTED_VALUE"""),"14-16")</f>
        <v>14-16</v>
      </c>
      <c r="E45" s="10">
        <f>IFERROR(__xludf.DUMMYFUNCTION("""COMPUTED_VALUE"""),1.0)</f>
        <v>1</v>
      </c>
      <c r="F45" s="10" t="str">
        <f>IFERROR(__xludf.DUMMYFUNCTION("""COMPUTED_VALUE"""),"")</f>
        <v/>
      </c>
      <c r="G45" s="10" t="str">
        <f>IFERROR(__xludf.DUMMYFUNCTION("""COMPUTED_VALUE"""),"Non")</f>
        <v>Non</v>
      </c>
      <c r="H45" s="10" t="str">
        <f>IFERROR(__xludf.DUMMYFUNCTION("""COMPUTED_VALUE"""),"Rapide")</f>
        <v>Rapide</v>
      </c>
      <c r="I45" s="10" t="str">
        <f>IFERROR(__xludf.DUMMYFUNCTION("""COMPUTED_VALUE"""),"Non")</f>
        <v>Non</v>
      </c>
      <c r="J45" s="10" t="str">
        <f>IFERROR(__xludf.DUMMYFUNCTION("""COMPUTED_VALUE"""),"Maladie du crasc")</f>
        <v>Maladie du crasc</v>
      </c>
      <c r="K45" s="10" t="str">
        <f>IFERROR(__xludf.DUMMYFUNCTION("""COMPUTED_VALUE"""),"Attaque Automatique")</f>
        <v>Attaque Automatique</v>
      </c>
      <c r="L45" s="10" t="str">
        <f>IFERROR(__xludf.DUMMYFUNCTION("""COMPUTED_VALUE"""),"?")</f>
        <v>?</v>
      </c>
      <c r="M45" s="10">
        <f>IFERROR(__xludf.DUMMYFUNCTION("""COMPUTED_VALUE"""),1.0)</f>
        <v>1</v>
      </c>
      <c r="N45" s="10">
        <f>IFERROR(__xludf.DUMMYFUNCTION("""COMPUTED_VALUE"""),10.0)</f>
        <v>10</v>
      </c>
      <c r="O45" s="10">
        <f>IFERROR(__xludf.DUMMYFUNCTION("""COMPUTED_VALUE"""),3.0)</f>
        <v>3</v>
      </c>
      <c r="P45" s="10">
        <f>IFERROR(__xludf.DUMMYFUNCTION("""COMPUTED_VALUE"""),5.0)</f>
        <v>5</v>
      </c>
      <c r="Q45" s="10" t="str">
        <f>IFERROR(__xludf.DUMMYFUNCTION("""COMPUTED_VALUE"""),"Oui")</f>
        <v>Oui</v>
      </c>
      <c r="R45" s="10" t="str">
        <f>IFERROR(__xludf.DUMMYFUNCTION("""COMPUTED_VALUE"""),"")</f>
        <v/>
      </c>
      <c r="S45" s="10" t="str">
        <f>IFERROR(__xludf.DUMMYFUNCTION("""COMPUTED_VALUE"""),"")</f>
        <v/>
      </c>
      <c r="T45" s="10" t="str">
        <f>IFERROR(__xludf.DUMMYFUNCTION("""COMPUTED_VALUE"""),"")</f>
        <v/>
      </c>
      <c r="U45" s="10" t="str">
        <f>IFERROR(__xludf.DUMMYFUNCTION("""COMPUTED_VALUE"""),"")</f>
        <v/>
      </c>
      <c r="V45" s="10" t="str">
        <f>IFERROR(__xludf.DUMMYFUNCTION("""COMPUTED_VALUE"""),"")</f>
        <v/>
      </c>
      <c r="W45" s="10" t="str">
        <f>IFERROR(__xludf.DUMMYFUNCTION("""COMPUTED_VALUE"""),"")</f>
        <v/>
      </c>
      <c r="X45" s="10" t="str">
        <f>IFERROR(__xludf.DUMMYFUNCTION("""COMPUTED_VALUE"""),"")</f>
        <v/>
      </c>
      <c r="Y45" s="10"/>
      <c r="Z45" s="10"/>
      <c r="AA45" s="10"/>
      <c r="AB45" s="10"/>
      <c r="AC45" s="10"/>
      <c r="AD45" s="10"/>
      <c r="AE45" s="10"/>
      <c r="AF45" s="10"/>
      <c r="AG45" s="10"/>
      <c r="AH45" s="10"/>
    </row>
    <row r="46">
      <c r="A46" s="10">
        <f>IFERROR(__xludf.DUMMYFUNCTION("""COMPUTED_VALUE"""),42.0)</f>
        <v>42</v>
      </c>
      <c r="B46" s="10" t="str">
        <f>IFERROR(__xludf.DUMMYFUNCTION("""COMPUTED_VALUE"""),"Croquemitaine")</f>
        <v>Croquemitaine</v>
      </c>
      <c r="C46" s="10" t="str">
        <f>IFERROR(__xludf.DUMMYFUNCTION("""COMPUTED_VALUE"""),"Mort-Vivant")</f>
        <v>Mort-Vivant</v>
      </c>
      <c r="D46" s="10">
        <f>IFERROR(__xludf.DUMMYFUNCTION("""COMPUTED_VALUE"""),6.0)</f>
        <v>6</v>
      </c>
      <c r="E46" s="10">
        <f>IFERROR(__xludf.DUMMYFUNCTION("""COMPUTED_VALUE"""),1.0)</f>
        <v>1</v>
      </c>
      <c r="F46" s="10" t="str">
        <f>IFERROR(__xludf.DUMMYFUNCTION("""COMPUTED_VALUE"""),"Non")</f>
        <v>Non</v>
      </c>
      <c r="G46" s="10" t="str">
        <f>IFERROR(__xludf.DUMMYFUNCTION("""COMPUTED_VALUE"""),"Non")</f>
        <v>Non</v>
      </c>
      <c r="H46" s="10" t="str">
        <f>IFERROR(__xludf.DUMMYFUNCTION("""COMPUTED_VALUE"""),"Normale")</f>
        <v>Normale</v>
      </c>
      <c r="I46" s="10" t="str">
        <f>IFERROR(__xludf.DUMMYFUNCTION("""COMPUTED_VALUE"""),"Non")</f>
        <v>Non</v>
      </c>
      <c r="J46" s="10" t="str">
        <f>IFERROR(__xludf.DUMMYFUNCTION("""COMPUTED_VALUE"""),"Attaque aveuglante - Toucher")</f>
        <v>Attaque aveuglante - Toucher</v>
      </c>
      <c r="K46" s="10" t="str">
        <f>IFERROR(__xludf.DUMMYFUNCTION("""COMPUTED_VALUE"""),"-")</f>
        <v>-</v>
      </c>
      <c r="L46" s="10" t="str">
        <f>IFERROR(__xludf.DUMMYFUNCTION("""COMPUTED_VALUE"""),"70 ±30")</f>
        <v>70 ±30</v>
      </c>
      <c r="M46" s="10" t="str">
        <f>IFERROR(__xludf.DUMMYFUNCTION("""COMPUTED_VALUE"""),"3 ±2")</f>
        <v>3 ±2</v>
      </c>
      <c r="N46" s="10" t="str">
        <f>IFERROR(__xludf.DUMMYFUNCTION("""COMPUTED_VALUE"""),"7 ±3")</f>
        <v>7 ±3</v>
      </c>
      <c r="O46" s="10" t="str">
        <f>IFERROR(__xludf.DUMMYFUNCTION("""COMPUTED_VALUE"""),"3 ±3")</f>
        <v>3 ±3</v>
      </c>
      <c r="P46" s="10" t="str">
        <f>IFERROR(__xludf.DUMMYFUNCTION("""COMPUTED_VALUE"""),"4 ±3")</f>
        <v>4 ±3</v>
      </c>
      <c r="Q46" s="10" t="str">
        <f>IFERROR(__xludf.DUMMYFUNCTION("""COMPUTED_VALUE"""),"2 ±1")</f>
        <v>2 ±1</v>
      </c>
      <c r="R46" s="10" t="str">
        <f>IFERROR(__xludf.DUMMYFUNCTION("""COMPUTED_VALUE"""),"1 ±2")</f>
        <v>1 ±2</v>
      </c>
      <c r="S46" s="10" t="str">
        <f>IFERROR(__xludf.DUMMYFUNCTION("""COMPUTED_VALUE"""),"")</f>
        <v/>
      </c>
      <c r="T46" s="10" t="str">
        <f>IFERROR(__xludf.DUMMYFUNCTION("""COMPUTED_VALUE"""),"400 ±300")</f>
        <v>400 ±300</v>
      </c>
      <c r="U46" s="10" t="str">
        <f>IFERROR(__xludf.DUMMYFUNCTION("""COMPUTED_VALUE"""),"200 ±300")</f>
        <v>200 ±300</v>
      </c>
      <c r="V46" s="10" t="str">
        <f>IFERROR(__xludf.DUMMYFUNCTION("""COMPUTED_VALUE"""),"12 ±3")</f>
        <v>12 ±3</v>
      </c>
      <c r="W46" s="10">
        <f>IFERROR(__xludf.DUMMYFUNCTION("""COMPUTED_VALUE"""),20.0)</f>
        <v>20</v>
      </c>
      <c r="X46" s="10" t="str">
        <f>IFERROR(__xludf.DUMMYFUNCTION("""COMPUTED_VALUE"""),"Non")</f>
        <v>Non</v>
      </c>
      <c r="Y46" s="10"/>
      <c r="Z46" s="10"/>
      <c r="AA46" s="10"/>
      <c r="AB46" s="10"/>
      <c r="AC46" s="10"/>
      <c r="AD46" s="10"/>
      <c r="AE46" s="10"/>
      <c r="AF46" s="10"/>
      <c r="AG46" s="10"/>
      <c r="AH46" s="10"/>
    </row>
    <row r="47">
      <c r="A47" s="10">
        <f>IFERROR(__xludf.DUMMYFUNCTION("""COMPUTED_VALUE"""),141.0)</f>
        <v>141</v>
      </c>
      <c r="B47" s="10" t="str">
        <f>IFERROR(__xludf.DUMMYFUNCTION("""COMPUTED_VALUE"""),"Cube Gelatineux")</f>
        <v>Cube Gelatineux</v>
      </c>
      <c r="C47" s="10" t="str">
        <f>IFERROR(__xludf.DUMMYFUNCTION("""COMPUTED_VALUE"""),"Monstre")</f>
        <v>Monstre</v>
      </c>
      <c r="D47" s="10">
        <f>IFERROR(__xludf.DUMMYFUNCTION("""COMPUTED_VALUE"""),32.0)</f>
        <v>32</v>
      </c>
      <c r="E47" s="10">
        <f>IFERROR(__xludf.DUMMYFUNCTION("""COMPUTED_VALUE"""),2.0)</f>
        <v>2</v>
      </c>
      <c r="F47" s="10" t="str">
        <f>IFERROR(__xludf.DUMMYFUNCTION("""COMPUTED_VALUE"""),"")</f>
        <v/>
      </c>
      <c r="G47" s="10" t="str">
        <f>IFERROR(__xludf.DUMMYFUNCTION("""COMPUTED_VALUE"""),"Non")</f>
        <v>Non</v>
      </c>
      <c r="H47" s="10" t="str">
        <f>IFERROR(__xludf.DUMMYFUNCTION("""COMPUTED_VALUE"""),"Lente")</f>
        <v>Lente</v>
      </c>
      <c r="I47" s="10" t="str">
        <f>IFERROR(__xludf.DUMMYFUNCTION("""COMPUTED_VALUE"""),"Non")</f>
        <v>Non</v>
      </c>
      <c r="J47" s="10" t="str">
        <f>IFERROR(__xludf.DUMMYFUNCTION("""COMPUTED_VALUE"""),"-")</f>
        <v>-</v>
      </c>
      <c r="K47" s="10" t="str">
        <f>IFERROR(__xludf.DUMMYFUNCTION("""COMPUTED_VALUE"""),"-")</f>
        <v>-</v>
      </c>
      <c r="L47" s="10" t="str">
        <f>IFERROR(__xludf.DUMMYFUNCTION("""COMPUTED_VALUE"""),"220 ±60")</f>
        <v>220 ±60</v>
      </c>
      <c r="M47" s="10" t="str">
        <f>IFERROR(__xludf.DUMMYFUNCTION("""COMPUTED_VALUE"""),"16 ±3")</f>
        <v>16 ±3</v>
      </c>
      <c r="N47" s="10" t="str">
        <f>IFERROR(__xludf.DUMMYFUNCTION("""COMPUTED_VALUE"""),"1 ±2")</f>
        <v>1 ±2</v>
      </c>
      <c r="O47" s="10" t="str">
        <f>IFERROR(__xludf.DUMMYFUNCTION("""COMPUTED_VALUE"""),"10 ±3")</f>
        <v>10 ±3</v>
      </c>
      <c r="P47" s="10" t="str">
        <f>IFERROR(__xludf.DUMMYFUNCTION("""COMPUTED_VALUE"""),"2 ±2")</f>
        <v>2 ±2</v>
      </c>
      <c r="Q47" s="10" t="str">
        <f>IFERROR(__xludf.DUMMYFUNCTION("""COMPUTED_VALUE"""),"10 ±2")</f>
        <v>10 ±2</v>
      </c>
      <c r="R47" s="10" t="str">
        <f>IFERROR(__xludf.DUMMYFUNCTION("""COMPUTED_VALUE"""),"31 ±6")</f>
        <v>31 ±6</v>
      </c>
      <c r="S47" s="10" t="str">
        <f>IFERROR(__xludf.DUMMYFUNCTION("""COMPUTED_VALUE"""),"")</f>
        <v/>
      </c>
      <c r="T47" s="10" t="str">
        <f>IFERROR(__xludf.DUMMYFUNCTION("""COMPUTED_VALUE"""),"800 ±300")</f>
        <v>800 ±300</v>
      </c>
      <c r="U47" s="10" t="str">
        <f>IFERROR(__xludf.DUMMYFUNCTION("""COMPUTED_VALUE"""),"100 ±100")</f>
        <v>100 ±100</v>
      </c>
      <c r="V47" s="10" t="str">
        <f>IFERROR(__xludf.DUMMYFUNCTION("""COMPUTED_VALUE"""),"18 ±4")</f>
        <v>18 ±4</v>
      </c>
      <c r="W47" s="10">
        <f>IFERROR(__xludf.DUMMYFUNCTION("""COMPUTED_VALUE"""),23.0)</f>
        <v>23</v>
      </c>
      <c r="X47" s="10" t="str">
        <f>IFERROR(__xludf.DUMMYFUNCTION("""COMPUTED_VALUE"""),"Non")</f>
        <v>Non</v>
      </c>
      <c r="Y47" s="10"/>
      <c r="Z47" s="10"/>
      <c r="AA47" s="10"/>
      <c r="AB47" s="10"/>
      <c r="AC47" s="10"/>
      <c r="AD47" s="10"/>
      <c r="AE47" s="10"/>
      <c r="AF47" s="10"/>
      <c r="AG47" s="10"/>
      <c r="AH47" s="10"/>
    </row>
    <row r="48">
      <c r="A48" s="10">
        <f>IFERROR(__xludf.DUMMYFUNCTION("""COMPUTED_VALUE"""),225.0)</f>
        <v>225</v>
      </c>
      <c r="B48" s="10" t="str">
        <f>IFERROR(__xludf.DUMMYFUNCTION("""COMPUTED_VALUE"""),"Daemonite")</f>
        <v>Daemonite</v>
      </c>
      <c r="C48" s="10" t="str">
        <f>IFERROR(__xludf.DUMMYFUNCTION("""COMPUTED_VALUE"""),"Démon")</f>
        <v>Démon</v>
      </c>
      <c r="D48" s="10">
        <f>IFERROR(__xludf.DUMMYFUNCTION("""COMPUTED_VALUE"""),27.0)</f>
        <v>27</v>
      </c>
      <c r="E48" s="10">
        <f>IFERROR(__xludf.DUMMYFUNCTION("""COMPUTED_VALUE"""),1.0)</f>
        <v>1</v>
      </c>
      <c r="F48" s="10" t="str">
        <f>IFERROR(__xludf.DUMMYFUNCTION("""COMPUTED_VALUE"""),"")</f>
        <v/>
      </c>
      <c r="G48" s="10" t="str">
        <f>IFERROR(__xludf.DUMMYFUNCTION("""COMPUTED_VALUE"""),"Non")</f>
        <v>Non</v>
      </c>
      <c r="H48" s="10" t="str">
        <f>IFERROR(__xludf.DUMMYFUNCTION("""COMPUTED_VALUE"""),"Rapide")</f>
        <v>Rapide</v>
      </c>
      <c r="I48" s="10" t="str">
        <f>IFERROR(__xludf.DUMMYFUNCTION("""COMPUTED_VALUE"""),"Oui")</f>
        <v>Oui</v>
      </c>
      <c r="J48" s="10" t="str">
        <f>IFERROR(__xludf.DUMMYFUNCTION("""COMPUTED_VALUE"""),"Fleche acide - Toucher ?")</f>
        <v>Fleche acide - Toucher ?</v>
      </c>
      <c r="K48" s="10" t="str">
        <f>IFERROR(__xludf.DUMMYFUNCTION("""COMPUTED_VALUE"""),"Aneantissement magique")</f>
        <v>Aneantissement magique</v>
      </c>
      <c r="L48" s="10" t="str">
        <f>IFERROR(__xludf.DUMMYFUNCTION("""COMPUTED_VALUE"""),"170 ±30")</f>
        <v>170 ±30</v>
      </c>
      <c r="M48" s="10" t="str">
        <f>IFERROR(__xludf.DUMMYFUNCTION("""COMPUTED_VALUE"""),"9 ±8")</f>
        <v>9 ±8</v>
      </c>
      <c r="N48" s="10" t="str">
        <f>IFERROR(__xludf.DUMMYFUNCTION("""COMPUTED_VALUE"""),"15 ±4")</f>
        <v>15 ±4</v>
      </c>
      <c r="O48" s="10" t="str">
        <f>IFERROR(__xludf.DUMMYFUNCTION("""COMPUTED_VALUE"""),"3 ±2")</f>
        <v>3 ±2</v>
      </c>
      <c r="P48" s="10" t="str">
        <f>IFERROR(__xludf.DUMMYFUNCTION("""COMPUTED_VALUE"""),"5 ±3")</f>
        <v>5 ±3</v>
      </c>
      <c r="Q48" s="10" t="str">
        <f>IFERROR(__xludf.DUMMYFUNCTION("""COMPUTED_VALUE"""),"8 ±1")</f>
        <v>8 ±1</v>
      </c>
      <c r="R48" s="10" t="str">
        <f>IFERROR(__xludf.DUMMYFUNCTION("""COMPUTED_VALUE"""),"19 ±4")</f>
        <v>19 ±4</v>
      </c>
      <c r="S48" s="10" t="str">
        <f>IFERROR(__xludf.DUMMYFUNCTION("""COMPUTED_VALUE"""),"")</f>
        <v/>
      </c>
      <c r="T48" s="10" t="str">
        <f>IFERROR(__xludf.DUMMYFUNCTION("""COMPUTED_VALUE"""),"2400 ±500")</f>
        <v>2400 ±500</v>
      </c>
      <c r="U48" s="10" t="str">
        <f>IFERROR(__xludf.DUMMYFUNCTION("""COMPUTED_VALUE"""),"1500 ±400")</f>
        <v>1500 ±400</v>
      </c>
      <c r="V48" s="10" t="str">
        <f>IFERROR(__xludf.DUMMYFUNCTION("""COMPUTED_VALUE"""),"11 ±3")</f>
        <v>11 ±3</v>
      </c>
      <c r="W48" s="10">
        <f>IFERROR(__xludf.DUMMYFUNCTION("""COMPUTED_VALUE"""),10.0)</f>
        <v>10</v>
      </c>
      <c r="X48" s="10" t="str">
        <f>IFERROR(__xludf.DUMMYFUNCTION("""COMPUTED_VALUE"""),"Non")</f>
        <v>Non</v>
      </c>
      <c r="Y48" s="10"/>
      <c r="Z48" s="10"/>
      <c r="AA48" s="10"/>
      <c r="AB48" s="10"/>
      <c r="AC48" s="10"/>
      <c r="AD48" s="10"/>
      <c r="AE48" s="10"/>
      <c r="AF48" s="10"/>
      <c r="AG48" s="10"/>
      <c r="AH48" s="10"/>
    </row>
    <row r="49">
      <c r="A49" s="10" t="str">
        <f>IFERROR(__xludf.DUMMYFUNCTION("""COMPUTED_VALUE"""),"")</f>
        <v/>
      </c>
      <c r="B49" s="10" t="str">
        <f>IFERROR(__xludf.DUMMYFUNCTION("""COMPUTED_VALUE"""),"Diablotin")</f>
        <v>Diablotin</v>
      </c>
      <c r="C49" s="10" t="str">
        <f>IFERROR(__xludf.DUMMYFUNCTION("""COMPUTED_VALUE"""),"Démon")</f>
        <v>Démon</v>
      </c>
      <c r="D49" s="10">
        <f>IFERROR(__xludf.DUMMYFUNCTION("""COMPUTED_VALUE"""),5.0)</f>
        <v>5</v>
      </c>
      <c r="E49" s="10">
        <f>IFERROR(__xludf.DUMMYFUNCTION("""COMPUTED_VALUE"""),2.0)</f>
        <v>2</v>
      </c>
      <c r="F49" s="10" t="str">
        <f>IFERROR(__xludf.DUMMYFUNCTION("""COMPUTED_VALUE"""),"Non")</f>
        <v>Non</v>
      </c>
      <c r="G49" s="10" t="str">
        <f>IFERROR(__xludf.DUMMYFUNCTION("""COMPUTED_VALUE"""),"Non")</f>
        <v>Non</v>
      </c>
      <c r="H49" s="10" t="str">
        <f>IFERROR(__xludf.DUMMYFUNCTION("""COMPUTED_VALUE"""),"Normale")</f>
        <v>Normale</v>
      </c>
      <c r="I49" s="10" t="str">
        <f>IFERROR(__xludf.DUMMYFUNCTION("""COMPUTED_VALUE"""),"Oui")</f>
        <v>Oui</v>
      </c>
      <c r="J49" s="10" t="str">
        <f>IFERROR(__xludf.DUMMYFUNCTION("""COMPUTED_VALUE"""),"Coup perforant - Toucher")</f>
        <v>Coup perforant - Toucher</v>
      </c>
      <c r="K49" s="10" t="str">
        <f>IFERROR(__xludf.DUMMYFUNCTION("""COMPUTED_VALUE"""),"-")</f>
        <v>-</v>
      </c>
      <c r="L49" s="10" t="str">
        <f>IFERROR(__xludf.DUMMYFUNCTION("""COMPUTED_VALUE"""),"40 ±30")</f>
        <v>40 ±30</v>
      </c>
      <c r="M49" s="10" t="str">
        <f>IFERROR(__xludf.DUMMYFUNCTION("""COMPUTED_VALUE"""),"4 ±3")</f>
        <v>4 ±3</v>
      </c>
      <c r="N49" s="10" t="str">
        <f>IFERROR(__xludf.DUMMYFUNCTION("""COMPUTED_VALUE"""),"15 ±4")</f>
        <v>15 ±4</v>
      </c>
      <c r="O49" s="10" t="str">
        <f>IFERROR(__xludf.DUMMYFUNCTION("""COMPUTED_VALUE"""),"1 ±2")</f>
        <v>1 ±2</v>
      </c>
      <c r="P49" s="10" t="str">
        <f>IFERROR(__xludf.DUMMYFUNCTION("""COMPUTED_VALUE"""),"4 ±3")</f>
        <v>4 ±3</v>
      </c>
      <c r="Q49" s="10" t="str">
        <f>IFERROR(__xludf.DUMMYFUNCTION("""COMPUTED_VALUE"""),"7 ±2")</f>
        <v>7 ±2</v>
      </c>
      <c r="R49" s="10" t="str">
        <f>IFERROR(__xludf.DUMMYFUNCTION("""COMPUTED_VALUE"""),"1 ±1")</f>
        <v>1 ±1</v>
      </c>
      <c r="S49" s="10" t="str">
        <f>IFERROR(__xludf.DUMMYFUNCTION("""COMPUTED_VALUE"""),"")</f>
        <v/>
      </c>
      <c r="T49" s="10" t="str">
        <f>IFERROR(__xludf.DUMMYFUNCTION("""COMPUTED_VALUE"""),"1000 ±300")</f>
        <v>1000 ±300</v>
      </c>
      <c r="U49" s="10" t="str">
        <f>IFERROR(__xludf.DUMMYFUNCTION("""COMPUTED_VALUE"""),"500 ±300")</f>
        <v>500 ±300</v>
      </c>
      <c r="V49" s="10" t="str">
        <f>IFERROR(__xludf.DUMMYFUNCTION("""COMPUTED_VALUE"""),"16 ±5")</f>
        <v>16 ±5</v>
      </c>
      <c r="W49" s="10">
        <f>IFERROR(__xludf.DUMMYFUNCTION("""COMPUTED_VALUE"""),56.0)</f>
        <v>56</v>
      </c>
      <c r="X49" s="10" t="str">
        <f>IFERROR(__xludf.DUMMYFUNCTION("""COMPUTED_VALUE"""),"Non")</f>
        <v>Non</v>
      </c>
      <c r="Y49" s="10"/>
      <c r="Z49" s="10"/>
      <c r="AA49" s="10"/>
      <c r="AB49" s="10"/>
      <c r="AC49" s="10"/>
      <c r="AD49" s="10"/>
      <c r="AE49" s="10"/>
      <c r="AF49" s="10"/>
      <c r="AG49" s="10"/>
      <c r="AH49" s="10"/>
    </row>
    <row r="50">
      <c r="A50" s="10" t="str">
        <f>IFERROR(__xludf.DUMMYFUNCTION("""COMPUTED_VALUE"""),"*Id*")</f>
        <v>*Id*</v>
      </c>
      <c r="B50" s="10" t="str">
        <f>IFERROR(__xludf.DUMMYFUNCTION("""COMPUTED_VALUE"""),"*Nom*")</f>
        <v>*Nom*</v>
      </c>
      <c r="C50" s="10" t="str">
        <f>IFERROR(__xludf.DUMMYFUNCTION("""COMPUTED_VALUE"""),"*Famille*")</f>
        <v>*Famille*</v>
      </c>
      <c r="D50" s="10" t="str">
        <f>IFERROR(__xludf.DUMMYFUNCTION("""COMPUTED_VALUE"""),"*Niv*")</f>
        <v>*Niv*</v>
      </c>
      <c r="E50" s="10" t="str">
        <f>IFERROR(__xludf.DUMMYFUNCTION("""COMPUTED_VALUE"""),"*Nb att*")</f>
        <v>*Nb att*</v>
      </c>
      <c r="F50" s="10" t="str">
        <f>IFERROR(__xludf.DUMMYFUNCTION("""COMPUTED_VALUE"""),"*Att mag*")</f>
        <v>*Att mag*</v>
      </c>
      <c r="G50" s="10" t="str">
        <f>IFERROR(__xludf.DUMMYFUNCTION("""COMPUTED_VALUE"""),"*Att dist*")</f>
        <v>*Att dist*</v>
      </c>
      <c r="H50" s="10" t="str">
        <f>IFERROR(__xludf.DUMMYFUNCTION("""COMPUTED_VALUE"""),"*Vit*")</f>
        <v>*Vit*</v>
      </c>
      <c r="I50" s="10" t="str">
        <f>IFERROR(__xludf.DUMMYFUNCTION("""COMPUTED_VALUE"""),"*VlC*")</f>
        <v>*VlC*</v>
      </c>
      <c r="J50" s="10" t="str">
        <f>IFERROR(__xludf.DUMMYFUNCTION("""COMPUTED_VALUE"""),"*Pouvoir 1*")</f>
        <v>*Pouvoir 1*</v>
      </c>
      <c r="K50" s="10" t="str">
        <f>IFERROR(__xludf.DUMMYFUNCTION("""COMPUTED_VALUE"""),"*Pouvoir 2*")</f>
        <v>*Pouvoir 2*</v>
      </c>
      <c r="L50" s="10" t="str">
        <f>IFERROR(__xludf.DUMMYFUNCTION("""COMPUTED_VALUE"""),"*PV*")</f>
        <v>*PV*</v>
      </c>
      <c r="M50" s="10" t="str">
        <f>IFERROR(__xludf.DUMMYFUNCTION("""COMPUTED_VALUE"""),"*Att*")</f>
        <v>*Att*</v>
      </c>
      <c r="N50" s="10" t="str">
        <f>IFERROR(__xludf.DUMMYFUNCTION("""COMPUTED_VALUE"""),"*Esq*")</f>
        <v>*Esq*</v>
      </c>
      <c r="O50" s="10" t="str">
        <f>IFERROR(__xludf.DUMMYFUNCTION("""COMPUTED_VALUE"""),"*Dégât*")</f>
        <v>*Dégât*</v>
      </c>
      <c r="P50" s="10" t="str">
        <f>IFERROR(__xludf.DUMMYFUNCTION("""COMPUTED_VALUE"""),"*Vue*")</f>
        <v>*Vue*</v>
      </c>
      <c r="Q50" s="10" t="str">
        <f>IFERROR(__xludf.DUMMYFUNCTION("""COMPUTED_VALUE"""),"*Régen*")</f>
        <v>*Régen*</v>
      </c>
      <c r="R50" s="10" t="str">
        <f>IFERROR(__xludf.DUMMYFUNCTION("""COMPUTED_VALUE"""),"*Arm phy*")</f>
        <v>*Arm phy*</v>
      </c>
      <c r="S50" s="10" t="str">
        <f>IFERROR(__xludf.DUMMYFUNCTION("""COMPUTED_VALUE"""),"*Arm mag*")</f>
        <v>*Arm mag*</v>
      </c>
      <c r="T50" s="10" t="str">
        <f>IFERROR(__xludf.DUMMYFUNCTION("""COMPUTED_VALUE"""),"*MM*")</f>
        <v>*MM*</v>
      </c>
      <c r="U50" s="10" t="str">
        <f>IFERROR(__xludf.DUMMYFUNCTION("""COMPUTED_VALUE"""),"*RM*")</f>
        <v>*RM*</v>
      </c>
      <c r="V50" s="10" t="str">
        <f>IFERROR(__xludf.DUMMYFUNCTION("""COMPUTED_VALUE"""),"*DLA*")</f>
        <v>*DLA*</v>
      </c>
      <c r="W50" s="10" t="str">
        <f>IFERROR(__xludf.DUMMYFUNCTION("""COMPUTED_VALUE"""),"*Echant*")</f>
        <v>*Echant*</v>
      </c>
      <c r="X50" s="10" t="str">
        <f>IFERROR(__xludf.DUMMYFUNCTION("""COMPUTED_VALUE"""),"*Vole*")</f>
        <v>*Vole*</v>
      </c>
      <c r="Y50" s="10"/>
      <c r="Z50" s="10"/>
      <c r="AA50" s="10"/>
      <c r="AB50" s="10"/>
      <c r="AC50" s="10"/>
      <c r="AD50" s="10"/>
      <c r="AE50" s="10"/>
      <c r="AF50" s="10"/>
      <c r="AG50" s="10"/>
      <c r="AH50" s="10"/>
    </row>
    <row r="51">
      <c r="A51" s="10">
        <f>IFERROR(__xludf.DUMMYFUNCTION("""COMPUTED_VALUE"""),140.0)</f>
        <v>140</v>
      </c>
      <c r="B51" s="10" t="str">
        <f>IFERROR(__xludf.DUMMYFUNCTION("""COMPUTED_VALUE"""),"Djinn")</f>
        <v>Djinn</v>
      </c>
      <c r="C51" s="10" t="str">
        <f>IFERROR(__xludf.DUMMYFUNCTION("""COMPUTED_VALUE"""),"Monstre")</f>
        <v>Monstre</v>
      </c>
      <c r="D51" s="10">
        <f>IFERROR(__xludf.DUMMYFUNCTION("""COMPUTED_VALUE"""),29.0)</f>
        <v>29</v>
      </c>
      <c r="E51" s="10">
        <f>IFERROR(__xludf.DUMMYFUNCTION("""COMPUTED_VALUE"""),1.0)</f>
        <v>1</v>
      </c>
      <c r="F51" s="10" t="str">
        <f>IFERROR(__xludf.DUMMYFUNCTION("""COMPUTED_VALUE"""),"Non")</f>
        <v>Non</v>
      </c>
      <c r="G51" s="10" t="str">
        <f>IFERROR(__xludf.DUMMYFUNCTION("""COMPUTED_VALUE"""),"Non")</f>
        <v>Non</v>
      </c>
      <c r="H51" s="10" t="str">
        <f>IFERROR(__xludf.DUMMYFUNCTION("""COMPUTED_VALUE"""),"Rapide")</f>
        <v>Rapide</v>
      </c>
      <c r="I51" s="10" t="str">
        <f>IFERROR(__xludf.DUMMYFUNCTION("""COMPUTED_VALUE"""),"Non")</f>
        <v>Non</v>
      </c>
      <c r="J51" s="10" t="str">
        <f>IFERROR(__xludf.DUMMYFUNCTION("""COMPUTED_VALUE"""),"Regard magique - Zone")</f>
        <v>Regard magique - Zone</v>
      </c>
      <c r="K51" s="10" t="str">
        <f>IFERROR(__xludf.DUMMYFUNCTION("""COMPUTED_VALUE"""),"-")</f>
        <v>-</v>
      </c>
      <c r="L51" s="10" t="str">
        <f>IFERROR(__xludf.DUMMYFUNCTION("""COMPUTED_VALUE"""),"105 ±35")</f>
        <v>105 ±35</v>
      </c>
      <c r="M51" s="10" t="str">
        <f>IFERROR(__xludf.DUMMYFUNCTION("""COMPUTED_VALUE"""),"12 ±4")</f>
        <v>12 ±4</v>
      </c>
      <c r="N51" s="10" t="str">
        <f>IFERROR(__xludf.DUMMYFUNCTION("""COMPUTED_VALUE"""),"17 ±4")</f>
        <v>17 ±4</v>
      </c>
      <c r="O51" s="10" t="str">
        <f>IFERROR(__xludf.DUMMYFUNCTION("""COMPUTED_VALUE"""),"10 ±3")</f>
        <v>10 ±3</v>
      </c>
      <c r="P51" s="10" t="str">
        <f>IFERROR(__xludf.DUMMYFUNCTION("""COMPUTED_VALUE"""),"4 ±3")</f>
        <v>4 ±3</v>
      </c>
      <c r="Q51" s="10" t="str">
        <f>IFERROR(__xludf.DUMMYFUNCTION("""COMPUTED_VALUE"""),"4 ±1")</f>
        <v>4 ±1</v>
      </c>
      <c r="R51" s="10" t="str">
        <f>IFERROR(__xludf.DUMMYFUNCTION("""COMPUTED_VALUE"""),"4 ±3")</f>
        <v>4 ±3</v>
      </c>
      <c r="S51" s="10" t="str">
        <f>IFERROR(__xludf.DUMMYFUNCTION("""COMPUTED_VALUE"""),"")</f>
        <v/>
      </c>
      <c r="T51" s="10" t="str">
        <f>IFERROR(__xludf.DUMMYFUNCTION("""COMPUTED_VALUE"""),"1400 ±400")</f>
        <v>1400 ±400</v>
      </c>
      <c r="U51" s="10" t="str">
        <f>IFERROR(__xludf.DUMMYFUNCTION("""COMPUTED_VALUE"""),"900 ±300")</f>
        <v>900 ±300</v>
      </c>
      <c r="V51" s="10" t="str">
        <f>IFERROR(__xludf.DUMMYFUNCTION("""COMPUTED_VALUE"""),"10 ±3")</f>
        <v>10 ±3</v>
      </c>
      <c r="W51" s="10">
        <f>IFERROR(__xludf.DUMMYFUNCTION("""COMPUTED_VALUE"""),74.0)</f>
        <v>74</v>
      </c>
      <c r="X51" s="10" t="str">
        <f>IFERROR(__xludf.DUMMYFUNCTION("""COMPUTED_VALUE"""),"Non")</f>
        <v>Non</v>
      </c>
      <c r="Y51" s="10"/>
      <c r="Z51" s="10"/>
      <c r="AA51" s="10"/>
      <c r="AB51" s="10"/>
      <c r="AC51" s="10"/>
      <c r="AD51" s="10"/>
      <c r="AE51" s="10"/>
      <c r="AF51" s="10"/>
      <c r="AG51" s="10"/>
      <c r="AH51" s="10"/>
    </row>
    <row r="52">
      <c r="A52" s="10">
        <f>IFERROR(__xludf.DUMMYFUNCTION("""COMPUTED_VALUE"""),167.0)</f>
        <v>167</v>
      </c>
      <c r="B52" s="10" t="str">
        <f>IFERROR(__xludf.DUMMYFUNCTION("""COMPUTED_VALUE"""),"Ectoplasme")</f>
        <v>Ectoplasme</v>
      </c>
      <c r="C52" s="10" t="str">
        <f>IFERROR(__xludf.DUMMYFUNCTION("""COMPUTED_VALUE"""),"Mort-Vivant")</f>
        <v>Mort-Vivant</v>
      </c>
      <c r="D52" s="10">
        <f>IFERROR(__xludf.DUMMYFUNCTION("""COMPUTED_VALUE"""),18.0)</f>
        <v>18</v>
      </c>
      <c r="E52" s="10">
        <f>IFERROR(__xludf.DUMMYFUNCTION("""COMPUTED_VALUE"""),1.0)</f>
        <v>1</v>
      </c>
      <c r="F52" s="10" t="str">
        <f>IFERROR(__xludf.DUMMYFUNCTION("""COMPUTED_VALUE"""),"Oui")</f>
        <v>Oui</v>
      </c>
      <c r="G52" s="10" t="str">
        <f>IFERROR(__xludf.DUMMYFUNCTION("""COMPUTED_VALUE"""),"Non")</f>
        <v>Non</v>
      </c>
      <c r="H52" s="10" t="str">
        <f>IFERROR(__xludf.DUMMYFUNCTION("""COMPUTED_VALUE"""),"Normale")</f>
        <v>Normale</v>
      </c>
      <c r="I52" s="10" t="str">
        <f>IFERROR(__xludf.DUMMYFUNCTION("""COMPUTED_VALUE"""),"Oui")</f>
        <v>Oui</v>
      </c>
      <c r="J52" s="10" t="str">
        <f>IFERROR(__xludf.DUMMYFUNCTION("""COMPUTED_VALUE"""),"Coup perforant - Auto")</f>
        <v>Coup perforant - Auto</v>
      </c>
      <c r="K52" s="10" t="str">
        <f>IFERROR(__xludf.DUMMYFUNCTION("""COMPUTED_VALUE"""),"-")</f>
        <v>-</v>
      </c>
      <c r="L52" s="10" t="str">
        <f>IFERROR(__xludf.DUMMYFUNCTION("""COMPUTED_VALUE"""),"70 ±30")</f>
        <v>70 ±30</v>
      </c>
      <c r="M52" s="10" t="str">
        <f>IFERROR(__xludf.DUMMYFUNCTION("""COMPUTED_VALUE"""),"10 ±3")</f>
        <v>10 ±3</v>
      </c>
      <c r="N52" s="10" t="str">
        <f>IFERROR(__xludf.DUMMYFUNCTION("""COMPUTED_VALUE"""),"5 ±3")</f>
        <v>5 ±3</v>
      </c>
      <c r="O52" s="10" t="str">
        <f>IFERROR(__xludf.DUMMYFUNCTION("""COMPUTED_VALUE"""),"8 ±3")</f>
        <v>8 ±3</v>
      </c>
      <c r="P52" s="10" t="str">
        <f>IFERROR(__xludf.DUMMYFUNCTION("""COMPUTED_VALUE"""),"4 ±3")</f>
        <v>4 ±3</v>
      </c>
      <c r="Q52" s="10" t="str">
        <f>IFERROR(__xludf.DUMMYFUNCTION("""COMPUTED_VALUE"""),"7 ±2")</f>
        <v>7 ±2</v>
      </c>
      <c r="R52" s="10" t="str">
        <f>IFERROR(__xludf.DUMMYFUNCTION("""COMPUTED_VALUE"""),"19 ±3")</f>
        <v>19 ±3</v>
      </c>
      <c r="S52" s="10" t="str">
        <f>IFERROR(__xludf.DUMMYFUNCTION("""COMPUTED_VALUE"""),"")</f>
        <v/>
      </c>
      <c r="T52" s="10" t="str">
        <f>IFERROR(__xludf.DUMMYFUNCTION("""COMPUTED_VALUE"""),"1900 ±400")</f>
        <v>1900 ±400</v>
      </c>
      <c r="U52" s="10" t="str">
        <f>IFERROR(__xludf.DUMMYFUNCTION("""COMPUTED_VALUE"""),"1000 ±400")</f>
        <v>1000 ±400</v>
      </c>
      <c r="V52" s="10" t="str">
        <f>IFERROR(__xludf.DUMMYFUNCTION("""COMPUTED_VALUE"""),"10 ±2")</f>
        <v>10 ±2</v>
      </c>
      <c r="W52" s="10">
        <f>IFERROR(__xludf.DUMMYFUNCTION("""COMPUTED_VALUE"""),78.0)</f>
        <v>78</v>
      </c>
      <c r="X52" s="10" t="str">
        <f>IFERROR(__xludf.DUMMYFUNCTION("""COMPUTED_VALUE"""),"Non")</f>
        <v>Non</v>
      </c>
      <c r="Y52" s="10"/>
      <c r="Z52" s="10"/>
      <c r="AA52" s="10"/>
      <c r="AB52" s="10"/>
      <c r="AC52" s="10"/>
      <c r="AD52" s="10"/>
      <c r="AE52" s="10"/>
      <c r="AF52" s="10"/>
      <c r="AG52" s="10"/>
      <c r="AH52" s="10"/>
    </row>
    <row r="53">
      <c r="A53" s="10">
        <f>IFERROR(__xludf.DUMMYFUNCTION("""COMPUTED_VALUE"""),142.0)</f>
        <v>142</v>
      </c>
      <c r="B53" s="10" t="str">
        <f>IFERROR(__xludf.DUMMYFUNCTION("""COMPUTED_VALUE"""),"Effrit")</f>
        <v>Effrit</v>
      </c>
      <c r="C53" s="10" t="str">
        <f>IFERROR(__xludf.DUMMYFUNCTION("""COMPUTED_VALUE"""),"Monstre")</f>
        <v>Monstre</v>
      </c>
      <c r="D53" s="10">
        <f>IFERROR(__xludf.DUMMYFUNCTION("""COMPUTED_VALUE"""),27.0)</f>
        <v>27</v>
      </c>
      <c r="E53" s="10">
        <f>IFERROR(__xludf.DUMMYFUNCTION("""COMPUTED_VALUE"""),1.0)</f>
        <v>1</v>
      </c>
      <c r="F53" s="10" t="str">
        <f>IFERROR(__xludf.DUMMYFUNCTION("""COMPUTED_VALUE"""),"Non")</f>
        <v>Non</v>
      </c>
      <c r="G53" s="10" t="str">
        <f>IFERROR(__xludf.DUMMYFUNCTION("""COMPUTED_VALUE"""),"Oui (1)")</f>
        <v>Oui (1)</v>
      </c>
      <c r="H53" s="10" t="str">
        <f>IFERROR(__xludf.DUMMYFUNCTION("""COMPUTED_VALUE"""),"Rapide")</f>
        <v>Rapide</v>
      </c>
      <c r="I53" s="10" t="str">
        <f>IFERROR(__xludf.DUMMYFUNCTION("""COMPUTED_VALUE"""),"Oui")</f>
        <v>Oui</v>
      </c>
      <c r="J53" s="10" t="str">
        <f>IFERROR(__xludf.DUMMYFUNCTION("""COMPUTED_VALUE"""),"Aura de feu - Zone (1)")</f>
        <v>Aura de feu - Zone (1)</v>
      </c>
      <c r="K53" s="10" t="str">
        <f>IFERROR(__xludf.DUMMYFUNCTION("""COMPUTED_VALUE"""),"-")</f>
        <v>-</v>
      </c>
      <c r="L53" s="10" t="str">
        <f>IFERROR(__xludf.DUMMYFUNCTION("""COMPUTED_VALUE"""),"155 ±45")</f>
        <v>155 ±45</v>
      </c>
      <c r="M53" s="10" t="str">
        <f>IFERROR(__xludf.DUMMYFUNCTION("""COMPUTED_VALUE"""),"9 ±3")</f>
        <v>9 ±3</v>
      </c>
      <c r="N53" s="10" t="str">
        <f>IFERROR(__xludf.DUMMYFUNCTION("""COMPUTED_VALUE"""),"16 ±4")</f>
        <v>16 ±4</v>
      </c>
      <c r="O53" s="10" t="str">
        <f>IFERROR(__xludf.DUMMYFUNCTION("""COMPUTED_VALUE"""),"9 ±3")</f>
        <v>9 ±3</v>
      </c>
      <c r="P53" s="10" t="str">
        <f>IFERROR(__xludf.DUMMYFUNCTION("""COMPUTED_VALUE"""),"4 ±2")</f>
        <v>4 ±2</v>
      </c>
      <c r="Q53" s="10" t="str">
        <f>IFERROR(__xludf.DUMMYFUNCTION("""COMPUTED_VALUE"""),"3 ±1")</f>
        <v>3 ±1</v>
      </c>
      <c r="R53" s="10" t="str">
        <f>IFERROR(__xludf.DUMMYFUNCTION("""COMPUTED_VALUE"""),"6 ±3")</f>
        <v>6 ±3</v>
      </c>
      <c r="S53" s="10" t="str">
        <f>IFERROR(__xludf.DUMMYFUNCTION("""COMPUTED_VALUE"""),"")</f>
        <v/>
      </c>
      <c r="T53" s="10" t="str">
        <f>IFERROR(__xludf.DUMMYFUNCTION("""COMPUTED_VALUE"""),"3500 ±500")</f>
        <v>3500 ±500</v>
      </c>
      <c r="U53" s="10" t="str">
        <f>IFERROR(__xludf.DUMMYFUNCTION("""COMPUTED_VALUE"""),"100 ±100")</f>
        <v>100 ±100</v>
      </c>
      <c r="V53" s="10" t="str">
        <f>IFERROR(__xludf.DUMMYFUNCTION("""COMPUTED_VALUE"""),"8 ±3")</f>
        <v>8 ±3</v>
      </c>
      <c r="W53" s="10">
        <f>IFERROR(__xludf.DUMMYFUNCTION("""COMPUTED_VALUE"""),95.0)</f>
        <v>95</v>
      </c>
      <c r="X53" s="10" t="str">
        <f>IFERROR(__xludf.DUMMYFUNCTION("""COMPUTED_VALUE"""),"Non")</f>
        <v>Non</v>
      </c>
      <c r="Y53" s="10"/>
      <c r="Z53" s="10"/>
      <c r="AA53" s="10"/>
      <c r="AB53" s="10"/>
      <c r="AC53" s="10"/>
      <c r="AD53" s="10"/>
      <c r="AE53" s="10"/>
      <c r="AF53" s="10"/>
      <c r="AG53" s="10"/>
      <c r="AH53" s="10"/>
    </row>
    <row r="54">
      <c r="A54" s="10">
        <f>IFERROR(__xludf.DUMMYFUNCTION("""COMPUTED_VALUE"""),60.0)</f>
        <v>60</v>
      </c>
      <c r="B54" s="10" t="str">
        <f>IFERROR(__xludf.DUMMYFUNCTION("""COMPUTED_VALUE"""),"Elémentaire d'Air")</f>
        <v>Elémentaire d'Air</v>
      </c>
      <c r="C54" s="10" t="str">
        <f>IFERROR(__xludf.DUMMYFUNCTION("""COMPUTED_VALUE"""),"Démon")</f>
        <v>Démon</v>
      </c>
      <c r="D54" s="10">
        <f>IFERROR(__xludf.DUMMYFUNCTION("""COMPUTED_VALUE"""),23.0)</f>
        <v>23</v>
      </c>
      <c r="E54" s="10">
        <f>IFERROR(__xludf.DUMMYFUNCTION("""COMPUTED_VALUE"""),1.0)</f>
        <v>1</v>
      </c>
      <c r="F54" s="10" t="str">
        <f>IFERROR(__xludf.DUMMYFUNCTION("""COMPUTED_VALUE"""),"Non")</f>
        <v>Non</v>
      </c>
      <c r="G54" s="10" t="str">
        <f>IFERROR(__xludf.DUMMYFUNCTION("""COMPUTED_VALUE"""),"Non")</f>
        <v>Non</v>
      </c>
      <c r="H54" s="10" t="str">
        <f>IFERROR(__xludf.DUMMYFUNCTION("""COMPUTED_VALUE"""),"Rapide")</f>
        <v>Rapide</v>
      </c>
      <c r="I54" s="10" t="str">
        <f>IFERROR(__xludf.DUMMYFUNCTION("""COMPUTED_VALUE"""),"Oui")</f>
        <v>Oui</v>
      </c>
      <c r="J54" s="10" t="str">
        <f>IFERROR(__xludf.DUMMYFUNCTION("""COMPUTED_VALUE"""),"Attaque electrique - Zone")</f>
        <v>Attaque electrique - Zone</v>
      </c>
      <c r="K54" s="10" t="str">
        <f>IFERROR(__xludf.DUMMYFUNCTION("""COMPUTED_VALUE"""),"-")</f>
        <v>-</v>
      </c>
      <c r="L54" s="10" t="str">
        <f>IFERROR(__xludf.DUMMYFUNCTION("""COMPUTED_VALUE"""),"90 ±35")</f>
        <v>90 ±35</v>
      </c>
      <c r="M54" s="10" t="str">
        <f>IFERROR(__xludf.DUMMYFUNCTION("""COMPUTED_VALUE"""),"10 ±3")</f>
        <v>10 ±3</v>
      </c>
      <c r="N54" s="10" t="str">
        <f>IFERROR(__xludf.DUMMYFUNCTION("""COMPUTED_VALUE"""),"16 ±4")</f>
        <v>16 ±4</v>
      </c>
      <c r="O54" s="10" t="str">
        <f>IFERROR(__xludf.DUMMYFUNCTION("""COMPUTED_VALUE"""),"6 ±3")</f>
        <v>6 ±3</v>
      </c>
      <c r="P54" s="10" t="str">
        <f>IFERROR(__xludf.DUMMYFUNCTION("""COMPUTED_VALUE"""),"5 ±3")</f>
        <v>5 ±3</v>
      </c>
      <c r="Q54" s="10" t="str">
        <f>IFERROR(__xludf.DUMMYFUNCTION("""COMPUTED_VALUE"""),"3 ±1")</f>
        <v>3 ±1</v>
      </c>
      <c r="R54" s="10" t="str">
        <f>IFERROR(__xludf.DUMMYFUNCTION("""COMPUTED_VALUE"""),"10 ±3")</f>
        <v>10 ±3</v>
      </c>
      <c r="S54" s="10" t="str">
        <f>IFERROR(__xludf.DUMMYFUNCTION("""COMPUTED_VALUE"""),"")</f>
        <v/>
      </c>
      <c r="T54" s="10" t="str">
        <f>IFERROR(__xludf.DUMMYFUNCTION("""COMPUTED_VALUE"""),"2200 ±600")</f>
        <v>2200 ±600</v>
      </c>
      <c r="U54" s="10" t="str">
        <f>IFERROR(__xludf.DUMMYFUNCTION("""COMPUTED_VALUE"""),"800 ±300")</f>
        <v>800 ±300</v>
      </c>
      <c r="V54" s="10" t="str">
        <f>IFERROR(__xludf.DUMMYFUNCTION("""COMPUTED_VALUE"""),"10 ±3")</f>
        <v>10 ±3</v>
      </c>
      <c r="W54" s="10">
        <f>IFERROR(__xludf.DUMMYFUNCTION("""COMPUTED_VALUE"""),164.0)</f>
        <v>164</v>
      </c>
      <c r="X54" s="10" t="str">
        <f>IFERROR(__xludf.DUMMYFUNCTION("""COMPUTED_VALUE"""),"Oui")</f>
        <v>Oui</v>
      </c>
      <c r="Y54" s="10"/>
      <c r="Z54" s="10"/>
      <c r="AA54" s="10"/>
      <c r="AB54" s="10"/>
      <c r="AC54" s="10"/>
      <c r="AD54" s="10"/>
      <c r="AE54" s="10"/>
      <c r="AF54" s="10"/>
      <c r="AG54" s="10"/>
      <c r="AH54" s="10"/>
    </row>
    <row r="55">
      <c r="A55" s="10">
        <f>IFERROR(__xludf.DUMMYFUNCTION("""COMPUTED_VALUE"""),57.0)</f>
        <v>57</v>
      </c>
      <c r="B55" s="10" t="str">
        <f>IFERROR(__xludf.DUMMYFUNCTION("""COMPUTED_VALUE"""),"Elémentaire de Feu")</f>
        <v>Elémentaire de Feu</v>
      </c>
      <c r="C55" s="10" t="str">
        <f>IFERROR(__xludf.DUMMYFUNCTION("""COMPUTED_VALUE"""),"Démon")</f>
        <v>Démon</v>
      </c>
      <c r="D55" s="10">
        <f>IFERROR(__xludf.DUMMYFUNCTION("""COMPUTED_VALUE"""),21.0)</f>
        <v>21</v>
      </c>
      <c r="E55" s="10">
        <f>IFERROR(__xludf.DUMMYFUNCTION("""COMPUTED_VALUE"""),1.0)</f>
        <v>1</v>
      </c>
      <c r="F55" s="10" t="str">
        <f>IFERROR(__xludf.DUMMYFUNCTION("""COMPUTED_VALUE"""),"Oui")</f>
        <v>Oui</v>
      </c>
      <c r="G55" s="10" t="str">
        <f>IFERROR(__xludf.DUMMYFUNCTION("""COMPUTED_VALUE"""),"Non")</f>
        <v>Non</v>
      </c>
      <c r="H55" s="10" t="str">
        <f>IFERROR(__xludf.DUMMYFUNCTION("""COMPUTED_VALUE"""),"Normale")</f>
        <v>Normale</v>
      </c>
      <c r="I55" s="10" t="str">
        <f>IFERROR(__xludf.DUMMYFUNCTION("""COMPUTED_VALUE"""),"Non")</f>
        <v>Non</v>
      </c>
      <c r="J55" s="10" t="str">
        <f>IFERROR(__xludf.DUMMYFUNCTION("""COMPUTED_VALUE"""),"Aura de feu - Zone (1)")</f>
        <v>Aura de feu - Zone (1)</v>
      </c>
      <c r="K55" s="10" t="str">
        <f>IFERROR(__xludf.DUMMYFUNCTION("""COMPUTED_VALUE"""),"-")</f>
        <v>-</v>
      </c>
      <c r="L55" s="10" t="str">
        <f>IFERROR(__xludf.DUMMYFUNCTION("""COMPUTED_VALUE"""),"110 ±35")</f>
        <v>110 ±35</v>
      </c>
      <c r="M55" s="10" t="str">
        <f>IFERROR(__xludf.DUMMYFUNCTION("""COMPUTED_VALUE"""),"13 ±4")</f>
        <v>13 ±4</v>
      </c>
      <c r="N55" s="10" t="str">
        <f>IFERROR(__xludf.DUMMYFUNCTION("""COMPUTED_VALUE"""),"7 ±3")</f>
        <v>7 ±3</v>
      </c>
      <c r="O55" s="10" t="str">
        <f>IFERROR(__xludf.DUMMYFUNCTION("""COMPUTED_VALUE"""),"10 ±3")</f>
        <v>10 ±3</v>
      </c>
      <c r="P55" s="10" t="str">
        <f>IFERROR(__xludf.DUMMYFUNCTION("""COMPUTED_VALUE"""),"5 ±3")</f>
        <v>5 ±3</v>
      </c>
      <c r="Q55" s="10" t="str">
        <f>IFERROR(__xludf.DUMMYFUNCTION("""COMPUTED_VALUE"""),"3 ±1")</f>
        <v>3 ±1</v>
      </c>
      <c r="R55" s="10" t="str">
        <f>IFERROR(__xludf.DUMMYFUNCTION("""COMPUTED_VALUE"""),"5 ±3")</f>
        <v>5 ±3</v>
      </c>
      <c r="S55" s="10" t="str">
        <f>IFERROR(__xludf.DUMMYFUNCTION("""COMPUTED_VALUE"""),"")</f>
        <v/>
      </c>
      <c r="T55" s="10" t="str">
        <f>IFERROR(__xludf.DUMMYFUNCTION("""COMPUTED_VALUE"""),"1300 ±400")</f>
        <v>1300 ±400</v>
      </c>
      <c r="U55" s="10" t="str">
        <f>IFERROR(__xludf.DUMMYFUNCTION("""COMPUTED_VALUE"""),"700 ±300")</f>
        <v>700 ±300</v>
      </c>
      <c r="V55" s="10" t="str">
        <f>IFERROR(__xludf.DUMMYFUNCTION("""COMPUTED_VALUE"""),"11 ±3")</f>
        <v>11 ±3</v>
      </c>
      <c r="W55" s="10">
        <f>IFERROR(__xludf.DUMMYFUNCTION("""COMPUTED_VALUE"""),124.0)</f>
        <v>124</v>
      </c>
      <c r="X55" s="10" t="str">
        <f>IFERROR(__xludf.DUMMYFUNCTION("""COMPUTED_VALUE"""),"Non")</f>
        <v>Non</v>
      </c>
      <c r="Y55" s="10"/>
      <c r="Z55" s="10"/>
      <c r="AA55" s="10"/>
      <c r="AB55" s="10"/>
      <c r="AC55" s="10"/>
      <c r="AD55" s="10"/>
      <c r="AE55" s="10"/>
      <c r="AF55" s="10"/>
      <c r="AG55" s="10"/>
      <c r="AH55" s="10"/>
    </row>
    <row r="56">
      <c r="A56" s="10">
        <f>IFERROR(__xludf.DUMMYFUNCTION("""COMPUTED_VALUE"""),58.0)</f>
        <v>58</v>
      </c>
      <c r="B56" s="10" t="str">
        <f>IFERROR(__xludf.DUMMYFUNCTION("""COMPUTED_VALUE"""),"Elémentaire de Terre")</f>
        <v>Elémentaire de Terre</v>
      </c>
      <c r="C56" s="10" t="str">
        <f>IFERROR(__xludf.DUMMYFUNCTION("""COMPUTED_VALUE"""),"Démon")</f>
        <v>Démon</v>
      </c>
      <c r="D56" s="10">
        <f>IFERROR(__xludf.DUMMYFUNCTION("""COMPUTED_VALUE"""),21.0)</f>
        <v>21</v>
      </c>
      <c r="E56" s="10">
        <f>IFERROR(__xludf.DUMMYFUNCTION("""COMPUTED_VALUE"""),1.0)</f>
        <v>1</v>
      </c>
      <c r="F56" s="10" t="str">
        <f>IFERROR(__xludf.DUMMYFUNCTION("""COMPUTED_VALUE"""),"Non")</f>
        <v>Non</v>
      </c>
      <c r="G56" s="10" t="str">
        <f>IFERROR(__xludf.DUMMYFUNCTION("""COMPUTED_VALUE"""),"Non")</f>
        <v>Non</v>
      </c>
      <c r="H56" s="10" t="str">
        <f>IFERROR(__xludf.DUMMYFUNCTION("""COMPUTED_VALUE"""),"Rapide")</f>
        <v>Rapide</v>
      </c>
      <c r="I56" s="10" t="str">
        <f>IFERROR(__xludf.DUMMYFUNCTION("""COMPUTED_VALUE"""),"Non")</f>
        <v>Non</v>
      </c>
      <c r="J56" s="10" t="str">
        <f>IFERROR(__xludf.DUMMYFUNCTION("""COMPUTED_VALUE"""),"Attaque etourdissante - Toucher")</f>
        <v>Attaque etourdissante - Toucher</v>
      </c>
      <c r="K56" s="10" t="str">
        <f>IFERROR(__xludf.DUMMYFUNCTION("""COMPUTED_VALUE"""),"-")</f>
        <v>-</v>
      </c>
      <c r="L56" s="10" t="str">
        <f>IFERROR(__xludf.DUMMYFUNCTION("""COMPUTED_VALUE"""),"180 ±50")</f>
        <v>180 ±50</v>
      </c>
      <c r="M56" s="10" t="str">
        <f>IFERROR(__xludf.DUMMYFUNCTION("""COMPUTED_VALUE"""),"9 ±3")</f>
        <v>9 ±3</v>
      </c>
      <c r="N56" s="10" t="str">
        <f>IFERROR(__xludf.DUMMYFUNCTION("""COMPUTED_VALUE"""),"7 ±3")</f>
        <v>7 ±3</v>
      </c>
      <c r="O56" s="10" t="str">
        <f>IFERROR(__xludf.DUMMYFUNCTION("""COMPUTED_VALUE"""),"12 ±4")</f>
        <v>12 ±4</v>
      </c>
      <c r="P56" s="10" t="str">
        <f>IFERROR(__xludf.DUMMYFUNCTION("""COMPUTED_VALUE"""),"3 ±2")</f>
        <v>3 ±2</v>
      </c>
      <c r="Q56" s="10" t="str">
        <f>IFERROR(__xludf.DUMMYFUNCTION("""COMPUTED_VALUE"""),"5 ±2")</f>
        <v>5 ±2</v>
      </c>
      <c r="R56" s="10" t="str">
        <f>IFERROR(__xludf.DUMMYFUNCTION("""COMPUTED_VALUE"""),"30 ±5")</f>
        <v>30 ±5</v>
      </c>
      <c r="S56" s="10" t="str">
        <f>IFERROR(__xludf.DUMMYFUNCTION("""COMPUTED_VALUE"""),"")</f>
        <v/>
      </c>
      <c r="T56" s="10" t="str">
        <f>IFERROR(__xludf.DUMMYFUNCTION("""COMPUTED_VALUE"""),"2200 ±600")</f>
        <v>2200 ±600</v>
      </c>
      <c r="U56" s="10" t="str">
        <f>IFERROR(__xludf.DUMMYFUNCTION("""COMPUTED_VALUE"""),"800 ±300")</f>
        <v>800 ±300</v>
      </c>
      <c r="V56" s="10" t="str">
        <f>IFERROR(__xludf.DUMMYFUNCTION("""COMPUTED_VALUE"""),"12 ±3")</f>
        <v>12 ±3</v>
      </c>
      <c r="W56" s="10">
        <f>IFERROR(__xludf.DUMMYFUNCTION("""COMPUTED_VALUE"""),124.0)</f>
        <v>124</v>
      </c>
      <c r="X56" s="10" t="str">
        <f>IFERROR(__xludf.DUMMYFUNCTION("""COMPUTED_VALUE"""),"Non")</f>
        <v>Non</v>
      </c>
      <c r="Y56" s="10"/>
      <c r="Z56" s="10"/>
      <c r="AA56" s="10"/>
      <c r="AB56" s="10"/>
      <c r="AC56" s="10"/>
      <c r="AD56" s="10"/>
      <c r="AE56" s="10"/>
      <c r="AF56" s="10"/>
      <c r="AG56" s="10"/>
      <c r="AH56" s="10"/>
    </row>
    <row r="57">
      <c r="A57" s="10">
        <f>IFERROR(__xludf.DUMMYFUNCTION("""COMPUTED_VALUE"""),59.0)</f>
        <v>59</v>
      </c>
      <c r="B57" s="10" t="str">
        <f>IFERROR(__xludf.DUMMYFUNCTION("""COMPUTED_VALUE"""),"Elémentaire d'Eau")</f>
        <v>Elémentaire d'Eau</v>
      </c>
      <c r="C57" s="10" t="str">
        <f>IFERROR(__xludf.DUMMYFUNCTION("""COMPUTED_VALUE"""),"Démon")</f>
        <v>Démon</v>
      </c>
      <c r="D57" s="10">
        <f>IFERROR(__xludf.DUMMYFUNCTION("""COMPUTED_VALUE"""),17.0)</f>
        <v>17</v>
      </c>
      <c r="E57" s="10">
        <f>IFERROR(__xludf.DUMMYFUNCTION("""COMPUTED_VALUE"""),1.0)</f>
        <v>1</v>
      </c>
      <c r="F57" s="10" t="str">
        <f>IFERROR(__xludf.DUMMYFUNCTION("""COMPUTED_VALUE"""),"Non")</f>
        <v>Non</v>
      </c>
      <c r="G57" s="10" t="str">
        <f>IFERROR(__xludf.DUMMYFUNCTION("""COMPUTED_VALUE"""),"Non")</f>
        <v>Non</v>
      </c>
      <c r="H57" s="10" t="str">
        <f>IFERROR(__xludf.DUMMYFUNCTION("""COMPUTED_VALUE"""),"Rapide")</f>
        <v>Rapide</v>
      </c>
      <c r="I57" s="10" t="str">
        <f>IFERROR(__xludf.DUMMYFUNCTION("""COMPUTED_VALUE"""),"Non")</f>
        <v>Non</v>
      </c>
      <c r="J57" s="10" t="str">
        <f>IFERROR(__xludf.DUMMYFUNCTION("""COMPUTED_VALUE"""),"-")</f>
        <v>-</v>
      </c>
      <c r="K57" s="10" t="str">
        <f>IFERROR(__xludf.DUMMYFUNCTION("""COMPUTED_VALUE"""),"-")</f>
        <v>-</v>
      </c>
      <c r="L57" s="10" t="str">
        <f>IFERROR(__xludf.DUMMYFUNCTION("""COMPUTED_VALUE"""),"100 ±30")</f>
        <v>100 ±30</v>
      </c>
      <c r="M57" s="10" t="str">
        <f>IFERROR(__xludf.DUMMYFUNCTION("""COMPUTED_VALUE"""),"9 ±3")</f>
        <v>9 ±3</v>
      </c>
      <c r="N57" s="10" t="str">
        <f>IFERROR(__xludf.DUMMYFUNCTION("""COMPUTED_VALUE"""),"12 ±3")</f>
        <v>12 ±3</v>
      </c>
      <c r="O57" s="10" t="str">
        <f>IFERROR(__xludf.DUMMYFUNCTION("""COMPUTED_VALUE"""),"8 ±3")</f>
        <v>8 ±3</v>
      </c>
      <c r="P57" s="10" t="str">
        <f>IFERROR(__xludf.DUMMYFUNCTION("""COMPUTED_VALUE"""),"4 ±2")</f>
        <v>4 ±2</v>
      </c>
      <c r="Q57" s="10" t="str">
        <f>IFERROR(__xludf.DUMMYFUNCTION("""COMPUTED_VALUE"""),"2 ±1")</f>
        <v>2 ±1</v>
      </c>
      <c r="R57" s="10" t="str">
        <f>IFERROR(__xludf.DUMMYFUNCTION("""COMPUTED_VALUE"""),"7 ±3")</f>
        <v>7 ±3</v>
      </c>
      <c r="S57" s="10" t="str">
        <f>IFERROR(__xludf.DUMMYFUNCTION("""COMPUTED_VALUE"""),"")</f>
        <v/>
      </c>
      <c r="T57" s="10" t="str">
        <f>IFERROR(__xludf.DUMMYFUNCTION("""COMPUTED_VALUE"""),"1200 ±400")</f>
        <v>1200 ±400</v>
      </c>
      <c r="U57" s="10" t="str">
        <f>IFERROR(__xludf.DUMMYFUNCTION("""COMPUTED_VALUE"""),"700 ±300")</f>
        <v>700 ±300</v>
      </c>
      <c r="V57" s="10" t="str">
        <f>IFERROR(__xludf.DUMMYFUNCTION("""COMPUTED_VALUE"""),"11 ±3")</f>
        <v>11 ±3</v>
      </c>
      <c r="W57" s="10">
        <f>IFERROR(__xludf.DUMMYFUNCTION("""COMPUTED_VALUE"""),101.0)</f>
        <v>101</v>
      </c>
      <c r="X57" s="10" t="str">
        <f>IFERROR(__xludf.DUMMYFUNCTION("""COMPUTED_VALUE"""),"Non")</f>
        <v>Non</v>
      </c>
      <c r="Y57" s="10"/>
      <c r="Z57" s="10"/>
      <c r="AA57" s="10"/>
      <c r="AB57" s="10"/>
      <c r="AC57" s="10"/>
      <c r="AD57" s="10"/>
      <c r="AE57" s="10"/>
      <c r="AF57" s="10"/>
      <c r="AG57" s="10"/>
      <c r="AH57" s="10"/>
    </row>
    <row r="58">
      <c r="A58" s="10" t="str">
        <f>IFERROR(__xludf.DUMMYFUNCTION("""COMPUTED_VALUE"""),"*Id*")</f>
        <v>*Id*</v>
      </c>
      <c r="B58" s="10" t="str">
        <f>IFERROR(__xludf.DUMMYFUNCTION("""COMPUTED_VALUE"""),"*Nom*")</f>
        <v>*Nom*</v>
      </c>
      <c r="C58" s="10" t="str">
        <f>IFERROR(__xludf.DUMMYFUNCTION("""COMPUTED_VALUE"""),"*Famille*")</f>
        <v>*Famille*</v>
      </c>
      <c r="D58" s="10" t="str">
        <f>IFERROR(__xludf.DUMMYFUNCTION("""COMPUTED_VALUE"""),"*Niv*")</f>
        <v>*Niv*</v>
      </c>
      <c r="E58" s="10" t="str">
        <f>IFERROR(__xludf.DUMMYFUNCTION("""COMPUTED_VALUE"""),"*Nb att*")</f>
        <v>*Nb att*</v>
      </c>
      <c r="F58" s="10" t="str">
        <f>IFERROR(__xludf.DUMMYFUNCTION("""COMPUTED_VALUE"""),"*Att mag*")</f>
        <v>*Att mag*</v>
      </c>
      <c r="G58" s="10" t="str">
        <f>IFERROR(__xludf.DUMMYFUNCTION("""COMPUTED_VALUE"""),"*Att dist*")</f>
        <v>*Att dist*</v>
      </c>
      <c r="H58" s="10" t="str">
        <f>IFERROR(__xludf.DUMMYFUNCTION("""COMPUTED_VALUE"""),"*Vit*")</f>
        <v>*Vit*</v>
      </c>
      <c r="I58" s="10" t="str">
        <f>IFERROR(__xludf.DUMMYFUNCTION("""COMPUTED_VALUE"""),"*VlC*")</f>
        <v>*VlC*</v>
      </c>
      <c r="J58" s="10" t="str">
        <f>IFERROR(__xludf.DUMMYFUNCTION("""COMPUTED_VALUE"""),"*Pouvoir 1*")</f>
        <v>*Pouvoir 1*</v>
      </c>
      <c r="K58" s="10" t="str">
        <f>IFERROR(__xludf.DUMMYFUNCTION("""COMPUTED_VALUE"""),"*Pouvoir 2*")</f>
        <v>*Pouvoir 2*</v>
      </c>
      <c r="L58" s="10" t="str">
        <f>IFERROR(__xludf.DUMMYFUNCTION("""COMPUTED_VALUE"""),"*PV*")</f>
        <v>*PV*</v>
      </c>
      <c r="M58" s="10" t="str">
        <f>IFERROR(__xludf.DUMMYFUNCTION("""COMPUTED_VALUE"""),"*Att*")</f>
        <v>*Att*</v>
      </c>
      <c r="N58" s="10" t="str">
        <f>IFERROR(__xludf.DUMMYFUNCTION("""COMPUTED_VALUE"""),"*Esq*")</f>
        <v>*Esq*</v>
      </c>
      <c r="O58" s="10" t="str">
        <f>IFERROR(__xludf.DUMMYFUNCTION("""COMPUTED_VALUE"""),"*Dégât*")</f>
        <v>*Dégât*</v>
      </c>
      <c r="P58" s="10" t="str">
        <f>IFERROR(__xludf.DUMMYFUNCTION("""COMPUTED_VALUE"""),"*Vue*")</f>
        <v>*Vue*</v>
      </c>
      <c r="Q58" s="10" t="str">
        <f>IFERROR(__xludf.DUMMYFUNCTION("""COMPUTED_VALUE"""),"*Régen*")</f>
        <v>*Régen*</v>
      </c>
      <c r="R58" s="10" t="str">
        <f>IFERROR(__xludf.DUMMYFUNCTION("""COMPUTED_VALUE"""),"*Arm phy*")</f>
        <v>*Arm phy*</v>
      </c>
      <c r="S58" s="10" t="str">
        <f>IFERROR(__xludf.DUMMYFUNCTION("""COMPUTED_VALUE"""),"*Arm mag*")</f>
        <v>*Arm mag*</v>
      </c>
      <c r="T58" s="10" t="str">
        <f>IFERROR(__xludf.DUMMYFUNCTION("""COMPUTED_VALUE"""),"*MM*")</f>
        <v>*MM*</v>
      </c>
      <c r="U58" s="10" t="str">
        <f>IFERROR(__xludf.DUMMYFUNCTION("""COMPUTED_VALUE"""),"*RM*")</f>
        <v>*RM*</v>
      </c>
      <c r="V58" s="10" t="str">
        <f>IFERROR(__xludf.DUMMYFUNCTION("""COMPUTED_VALUE"""),"*DLA*")</f>
        <v>*DLA*</v>
      </c>
      <c r="W58" s="10" t="str">
        <f>IFERROR(__xludf.DUMMYFUNCTION("""COMPUTED_VALUE"""),"*Echant*")</f>
        <v>*Echant*</v>
      </c>
      <c r="X58" s="10" t="str">
        <f>IFERROR(__xludf.DUMMYFUNCTION("""COMPUTED_VALUE"""),"")</f>
        <v/>
      </c>
      <c r="Y58" s="10"/>
      <c r="Z58" s="10"/>
      <c r="AA58" s="10"/>
      <c r="AB58" s="10"/>
      <c r="AC58" s="10"/>
      <c r="AD58" s="10"/>
      <c r="AE58" s="10"/>
      <c r="AF58" s="10"/>
      <c r="AG58" s="10"/>
      <c r="AH58" s="10"/>
    </row>
    <row r="59">
      <c r="A59" s="10">
        <f>IFERROR(__xludf.DUMMYFUNCTION("""COMPUTED_VALUE"""),134.0)</f>
        <v>134</v>
      </c>
      <c r="B59" s="10" t="str">
        <f>IFERROR(__xludf.DUMMYFUNCTION("""COMPUTED_VALUE"""),"Elémentaire du Chaos")</f>
        <v>Elémentaire du Chaos</v>
      </c>
      <c r="C59" s="10" t="str">
        <f>IFERROR(__xludf.DUMMYFUNCTION("""COMPUTED_VALUE"""),"Démon")</f>
        <v>Démon</v>
      </c>
      <c r="D59" s="10">
        <f>IFERROR(__xludf.DUMMYFUNCTION("""COMPUTED_VALUE"""),26.0)</f>
        <v>26</v>
      </c>
      <c r="E59" s="10">
        <f>IFERROR(__xludf.DUMMYFUNCTION("""COMPUTED_VALUE"""),2.0)</f>
        <v>2</v>
      </c>
      <c r="F59" s="10" t="str">
        <f>IFERROR(__xludf.DUMMYFUNCTION("""COMPUTED_VALUE"""),"Non")</f>
        <v>Non</v>
      </c>
      <c r="G59" s="10" t="str">
        <f>IFERROR(__xludf.DUMMYFUNCTION("""COMPUTED_VALUE"""),"Non")</f>
        <v>Non</v>
      </c>
      <c r="H59" s="10" t="str">
        <f>IFERROR(__xludf.DUMMYFUNCTION("""COMPUTED_VALUE"""),"Rapide")</f>
        <v>Rapide</v>
      </c>
      <c r="I59" s="10" t="str">
        <f>IFERROR(__xludf.DUMMYFUNCTION("""COMPUTED_VALUE"""),"Non")</f>
        <v>Non</v>
      </c>
      <c r="J59" s="10" t="str">
        <f>IFERROR(__xludf.DUMMYFUNCTION("""COMPUTED_VALUE"""),"-")</f>
        <v>-</v>
      </c>
      <c r="K59" s="10" t="str">
        <f>IFERROR(__xludf.DUMMYFUNCTION("""COMPUTED_VALUE"""),"Mort : Malediction du chaos")</f>
        <v>Mort : Malediction du chaos</v>
      </c>
      <c r="L59" s="10" t="str">
        <f>IFERROR(__xludf.DUMMYFUNCTION("""COMPUTED_VALUE"""),"80 ±30")</f>
        <v>80 ±30</v>
      </c>
      <c r="M59" s="10" t="str">
        <f>IFERROR(__xludf.DUMMYFUNCTION("""COMPUTED_VALUE"""),"19 ±4")</f>
        <v>19 ±4</v>
      </c>
      <c r="N59" s="10" t="str">
        <f>IFERROR(__xludf.DUMMYFUNCTION("""COMPUTED_VALUE"""),"3 ±2")</f>
        <v>3 ±2</v>
      </c>
      <c r="O59" s="10" t="str">
        <f>IFERROR(__xludf.DUMMYFUNCTION("""COMPUTED_VALUE"""),"6 ±3")</f>
        <v>6 ±3</v>
      </c>
      <c r="P59" s="10" t="str">
        <f>IFERROR(__xludf.DUMMYFUNCTION("""COMPUTED_VALUE"""),"4 ±3")</f>
        <v>4 ±3</v>
      </c>
      <c r="Q59" s="10" t="str">
        <f>IFERROR(__xludf.DUMMYFUNCTION("""COMPUTED_VALUE"""),"2 ±1")</f>
        <v>2 ±1</v>
      </c>
      <c r="R59" s="10" t="str">
        <f>IFERROR(__xludf.DUMMYFUNCTION("""COMPUTED_VALUE"""),"6 ±3")</f>
        <v>6 ±3</v>
      </c>
      <c r="S59" s="10" t="str">
        <f>IFERROR(__xludf.DUMMYFUNCTION("""COMPUTED_VALUE"""),"")</f>
        <v/>
      </c>
      <c r="T59" s="10" t="str">
        <f>IFERROR(__xludf.DUMMYFUNCTION("""COMPUTED_VALUE"""),"0 ±200")</f>
        <v>0 ±200</v>
      </c>
      <c r="U59" s="10" t="str">
        <f>IFERROR(__xludf.DUMMYFUNCTION("""COMPUTED_VALUE"""),"800 ±300")</f>
        <v>800 ±300</v>
      </c>
      <c r="V59" s="10" t="str">
        <f>IFERROR(__xludf.DUMMYFUNCTION("""COMPUTED_VALUE"""),"12 ±4")</f>
        <v>12 ±4</v>
      </c>
      <c r="W59" s="10">
        <f>IFERROR(__xludf.DUMMYFUNCTION("""COMPUTED_VALUE"""),138.0)</f>
        <v>138</v>
      </c>
      <c r="X59" s="10" t="str">
        <f>IFERROR(__xludf.DUMMYFUNCTION("""COMPUTED_VALUE"""),"Non")</f>
        <v>Non</v>
      </c>
      <c r="Y59" s="10"/>
      <c r="Z59" s="10"/>
      <c r="AA59" s="10"/>
      <c r="AB59" s="10"/>
      <c r="AC59" s="10"/>
      <c r="AD59" s="10"/>
      <c r="AE59" s="10"/>
      <c r="AF59" s="10"/>
      <c r="AG59" s="10"/>
      <c r="AH59" s="10"/>
    </row>
    <row r="60">
      <c r="A60" s="10" t="str">
        <f>IFERROR(__xludf.DUMMYFUNCTION("""COMPUTED_VALUE"""),"")</f>
        <v/>
      </c>
      <c r="B60" s="10" t="str">
        <f>IFERROR(__xludf.DUMMYFUNCTION("""COMPUTED_VALUE"""),"Elémentaire magmatique")</f>
        <v>Elémentaire magmatique</v>
      </c>
      <c r="C60" s="10" t="str">
        <f>IFERROR(__xludf.DUMMYFUNCTION("""COMPUTED_VALUE"""),"Démon")</f>
        <v>Démon</v>
      </c>
      <c r="D60" s="10" t="str">
        <f>IFERROR(__xludf.DUMMYFUNCTION("""COMPUTED_VALUE"""),"?")</f>
        <v>?</v>
      </c>
      <c r="E60" s="10">
        <f>IFERROR(__xludf.DUMMYFUNCTION("""COMPUTED_VALUE"""),1.0)</f>
        <v>1</v>
      </c>
      <c r="F60" s="10" t="str">
        <f>IFERROR(__xludf.DUMMYFUNCTION("""COMPUTED_VALUE"""),"Non")</f>
        <v>Non</v>
      </c>
      <c r="G60" s="10" t="str">
        <f>IFERROR(__xludf.DUMMYFUNCTION("""COMPUTED_VALUE"""),"Non")</f>
        <v>Non</v>
      </c>
      <c r="H60" s="10" t="str">
        <f>IFERROR(__xludf.DUMMYFUNCTION("""COMPUTED_VALUE"""),"Rapide")</f>
        <v>Rapide</v>
      </c>
      <c r="I60" s="10" t="str">
        <f>IFERROR(__xludf.DUMMYFUNCTION("""COMPUTED_VALUE"""),"Non")</f>
        <v>Non</v>
      </c>
      <c r="J60" s="10" t="str">
        <f>IFERROR(__xludf.DUMMYFUNCTION("""COMPUTED_VALUE"""),"Aura de feu - Zone")</f>
        <v>Aura de feu - Zone</v>
      </c>
      <c r="K60" s="10" t="str">
        <f>IFERROR(__xludf.DUMMYFUNCTION("""COMPUTED_VALUE"""),"Fusion")</f>
        <v>Fusion</v>
      </c>
      <c r="L60" s="10" t="str">
        <f>IFERROR(__xludf.DUMMYFUNCTION("""COMPUTED_VALUE"""),"")</f>
        <v/>
      </c>
      <c r="M60" s="10" t="str">
        <f>IFERROR(__xludf.DUMMYFUNCTION("""COMPUTED_VALUE"""),"")</f>
        <v/>
      </c>
      <c r="N60" s="10" t="str">
        <f>IFERROR(__xludf.DUMMYFUNCTION("""COMPUTED_VALUE"""),"")</f>
        <v/>
      </c>
      <c r="O60" s="10" t="str">
        <f>IFERROR(__xludf.DUMMYFUNCTION("""COMPUTED_VALUE"""),"")</f>
        <v/>
      </c>
      <c r="P60" s="10" t="str">
        <f>IFERROR(__xludf.DUMMYFUNCTION("""COMPUTED_VALUE"""),"")</f>
        <v/>
      </c>
      <c r="Q60" s="10" t="str">
        <f>IFERROR(__xludf.DUMMYFUNCTION("""COMPUTED_VALUE"""),"")</f>
        <v/>
      </c>
      <c r="R60" s="10" t="str">
        <f>IFERROR(__xludf.DUMMYFUNCTION("""COMPUTED_VALUE"""),"")</f>
        <v/>
      </c>
      <c r="S60" s="10" t="str">
        <f>IFERROR(__xludf.DUMMYFUNCTION("""COMPUTED_VALUE"""),"")</f>
        <v/>
      </c>
      <c r="T60" s="10" t="str">
        <f>IFERROR(__xludf.DUMMYFUNCTION("""COMPUTED_VALUE"""),"")</f>
        <v/>
      </c>
      <c r="U60" s="10" t="str">
        <f>IFERROR(__xludf.DUMMYFUNCTION("""COMPUTED_VALUE"""),"")</f>
        <v/>
      </c>
      <c r="V60" s="10" t="str">
        <f>IFERROR(__xludf.DUMMYFUNCTION("""COMPUTED_VALUE"""),"")</f>
        <v/>
      </c>
      <c r="W60" s="10" t="str">
        <f>IFERROR(__xludf.DUMMYFUNCTION("""COMPUTED_VALUE"""),"")</f>
        <v/>
      </c>
      <c r="X60" s="10" t="str">
        <f>IFERROR(__xludf.DUMMYFUNCTION("""COMPUTED_VALUE"""),"Non")</f>
        <v>Non</v>
      </c>
      <c r="Y60" s="10"/>
      <c r="Z60" s="10"/>
      <c r="AA60" s="10"/>
      <c r="AB60" s="10"/>
      <c r="AC60" s="10"/>
      <c r="AD60" s="10"/>
      <c r="AE60" s="10"/>
      <c r="AF60" s="10"/>
      <c r="AG60" s="10"/>
      <c r="AH60" s="10"/>
    </row>
    <row r="61">
      <c r="A61" s="10">
        <f>IFERROR(__xludf.DUMMYFUNCTION("""COMPUTED_VALUE"""),82.0)</f>
        <v>82</v>
      </c>
      <c r="B61" s="10" t="str">
        <f>IFERROR(__xludf.DUMMYFUNCTION("""COMPUTED_VALUE"""),"Erinyes")</f>
        <v>Erinyes</v>
      </c>
      <c r="C61" s="10" t="str">
        <f>IFERROR(__xludf.DUMMYFUNCTION("""COMPUTED_VALUE"""),"Démon")</f>
        <v>Démon</v>
      </c>
      <c r="D61" s="10">
        <f>IFERROR(__xludf.DUMMYFUNCTION("""COMPUTED_VALUE"""),7.0)</f>
        <v>7</v>
      </c>
      <c r="E61" s="10">
        <f>IFERROR(__xludf.DUMMYFUNCTION("""COMPUTED_VALUE"""),1.0)</f>
        <v>1</v>
      </c>
      <c r="F61" s="10" t="str">
        <f>IFERROR(__xludf.DUMMYFUNCTION("""COMPUTED_VALUE"""),"Non")</f>
        <v>Non</v>
      </c>
      <c r="G61" s="10" t="str">
        <f>IFERROR(__xludf.DUMMYFUNCTION("""COMPUTED_VALUE"""),"Oui")</f>
        <v>Oui</v>
      </c>
      <c r="H61" s="10" t="str">
        <f>IFERROR(__xludf.DUMMYFUNCTION("""COMPUTED_VALUE"""),"Normale")</f>
        <v>Normale</v>
      </c>
      <c r="I61" s="10" t="str">
        <f>IFERROR(__xludf.DUMMYFUNCTION("""COMPUTED_VALUE"""),"Oui")</f>
        <v>Oui</v>
      </c>
      <c r="J61" s="10" t="str">
        <f>IFERROR(__xludf.DUMMYFUNCTION("""COMPUTED_VALUE"""),"Charme - Zone (1/1)")</f>
        <v>Charme - Zone (1/1)</v>
      </c>
      <c r="K61" s="10" t="str">
        <f>IFERROR(__xludf.DUMMYFUNCTION("""COMPUTED_VALUE"""),"-")</f>
        <v>-</v>
      </c>
      <c r="L61" s="10" t="str">
        <f>IFERROR(__xludf.DUMMYFUNCTION("""COMPUTED_VALUE"""),"70 ±30")</f>
        <v>70 ±30</v>
      </c>
      <c r="M61" s="10" t="str">
        <f>IFERROR(__xludf.DUMMYFUNCTION("""COMPUTED_VALUE"""),"4 ±3")</f>
        <v>4 ±3</v>
      </c>
      <c r="N61" s="10" t="str">
        <f>IFERROR(__xludf.DUMMYFUNCTION("""COMPUTED_VALUE"""),"7 ±3")</f>
        <v>7 ±3</v>
      </c>
      <c r="O61" s="10" t="str">
        <f>IFERROR(__xludf.DUMMYFUNCTION("""COMPUTED_VALUE"""),"4 ±2")</f>
        <v>4 ±2</v>
      </c>
      <c r="P61" s="10" t="str">
        <f>IFERROR(__xludf.DUMMYFUNCTION("""COMPUTED_VALUE"""),"4 ±2")</f>
        <v>4 ±2</v>
      </c>
      <c r="Q61" s="10" t="str">
        <f>IFERROR(__xludf.DUMMYFUNCTION("""COMPUTED_VALUE"""),"2 ±1")</f>
        <v>2 ±1</v>
      </c>
      <c r="R61" s="10" t="str">
        <f>IFERROR(__xludf.DUMMYFUNCTION("""COMPUTED_VALUE"""),"4 ±2")</f>
        <v>4 ±2</v>
      </c>
      <c r="S61" s="10" t="str">
        <f>IFERROR(__xludf.DUMMYFUNCTION("""COMPUTED_VALUE"""),"")</f>
        <v/>
      </c>
      <c r="T61" s="10" t="str">
        <f>IFERROR(__xludf.DUMMYFUNCTION("""COMPUTED_VALUE"""),"400 ±300")</f>
        <v>400 ±300</v>
      </c>
      <c r="U61" s="10" t="str">
        <f>IFERROR(__xludf.DUMMYFUNCTION("""COMPUTED_VALUE"""),"200 ±200")</f>
        <v>200 ±200</v>
      </c>
      <c r="V61" s="10" t="str">
        <f>IFERROR(__xludf.DUMMYFUNCTION("""COMPUTED_VALUE"""),"12 ±4")</f>
        <v>12 ±4</v>
      </c>
      <c r="W61" s="10">
        <f>IFERROR(__xludf.DUMMYFUNCTION("""COMPUTED_VALUE"""),85.0)</f>
        <v>85</v>
      </c>
      <c r="X61" s="10" t="str">
        <f>IFERROR(__xludf.DUMMYFUNCTION("""COMPUTED_VALUE"""),"Oui")</f>
        <v>Oui</v>
      </c>
      <c r="Y61" s="10"/>
      <c r="Z61" s="10"/>
      <c r="AA61" s="10"/>
      <c r="AB61" s="10"/>
      <c r="AC61" s="10"/>
      <c r="AD61" s="10"/>
      <c r="AE61" s="10"/>
      <c r="AF61" s="10"/>
      <c r="AG61" s="10"/>
      <c r="AH61" s="10"/>
    </row>
    <row r="62">
      <c r="A62" s="10">
        <f>IFERROR(__xludf.DUMMYFUNCTION("""COMPUTED_VALUE"""),109.0)</f>
        <v>109</v>
      </c>
      <c r="B62" s="10" t="str">
        <f>IFERROR(__xludf.DUMMYFUNCTION("""COMPUTED_VALUE"""),"Esprit-Follet")</f>
        <v>Esprit-Follet</v>
      </c>
      <c r="C62" s="10" t="str">
        <f>IFERROR(__xludf.DUMMYFUNCTION("""COMPUTED_VALUE"""),"Monstre")</f>
        <v>Monstre</v>
      </c>
      <c r="D62" s="10">
        <f>IFERROR(__xludf.DUMMYFUNCTION("""COMPUTED_VALUE"""),16.0)</f>
        <v>16</v>
      </c>
      <c r="E62" s="10">
        <f>IFERROR(__xludf.DUMMYFUNCTION("""COMPUTED_VALUE"""),1.0)</f>
        <v>1</v>
      </c>
      <c r="F62" s="10" t="str">
        <f>IFERROR(__xludf.DUMMYFUNCTION("""COMPUTED_VALUE"""),"Oui")</f>
        <v>Oui</v>
      </c>
      <c r="G62" s="10" t="str">
        <f>IFERROR(__xludf.DUMMYFUNCTION("""COMPUTED_VALUE"""),"Non")</f>
        <v>Non</v>
      </c>
      <c r="H62" s="10" t="str">
        <f>IFERROR(__xludf.DUMMYFUNCTION("""COMPUTED_VALUE"""),"Rapide")</f>
        <v>Rapide</v>
      </c>
      <c r="I62" s="10" t="str">
        <f>IFERROR(__xludf.DUMMYFUNCTION("""COMPUTED_VALUE"""),"Non")</f>
        <v>Non</v>
      </c>
      <c r="J62" s="10" t="str">
        <f>IFERROR(__xludf.DUMMYFUNCTION("""COMPUTED_VALUE"""),"Aura de feu - Zone")</f>
        <v>Aura de feu - Zone</v>
      </c>
      <c r="K62" s="10" t="str">
        <f>IFERROR(__xludf.DUMMYFUNCTION("""COMPUTED_VALUE"""),"-")</f>
        <v>-</v>
      </c>
      <c r="L62" s="10" t="str">
        <f>IFERROR(__xludf.DUMMYFUNCTION("""COMPUTED_VALUE"""),"75 ±30")</f>
        <v>75 ±30</v>
      </c>
      <c r="M62" s="10" t="str">
        <f>IFERROR(__xludf.DUMMYFUNCTION("""COMPUTED_VALUE"""),"8 ±3")</f>
        <v>8 ±3</v>
      </c>
      <c r="N62" s="10" t="str">
        <f>IFERROR(__xludf.DUMMYFUNCTION("""COMPUTED_VALUE"""),"14 ±4")</f>
        <v>14 ±4</v>
      </c>
      <c r="O62" s="10" t="str">
        <f>IFERROR(__xludf.DUMMYFUNCTION("""COMPUTED_VALUE"""),"4 ±2")</f>
        <v>4 ±2</v>
      </c>
      <c r="P62" s="10" t="str">
        <f>IFERROR(__xludf.DUMMYFUNCTION("""COMPUTED_VALUE"""),"5 ±3")</f>
        <v>5 ±3</v>
      </c>
      <c r="Q62" s="10" t="str">
        <f>IFERROR(__xludf.DUMMYFUNCTION("""COMPUTED_VALUE"""),"4 ±1")</f>
        <v>4 ±1</v>
      </c>
      <c r="R62" s="10" t="str">
        <f>IFERROR(__xludf.DUMMYFUNCTION("""COMPUTED_VALUE"""),"3 ±2")</f>
        <v>3 ±2</v>
      </c>
      <c r="S62" s="10" t="str">
        <f>IFERROR(__xludf.DUMMYFUNCTION("""COMPUTED_VALUE"""),"")</f>
        <v/>
      </c>
      <c r="T62" s="10" t="str">
        <f>IFERROR(__xludf.DUMMYFUNCTION("""COMPUTED_VALUE"""),"800 ±300")</f>
        <v>800 ±300</v>
      </c>
      <c r="U62" s="10" t="str">
        <f>IFERROR(__xludf.DUMMYFUNCTION("""COMPUTED_VALUE"""),"600 ±300")</f>
        <v>600 ±300</v>
      </c>
      <c r="V62" s="10" t="str">
        <f>IFERROR(__xludf.DUMMYFUNCTION("""COMPUTED_VALUE"""),"12 ±3")</f>
        <v>12 ±3</v>
      </c>
      <c r="W62" s="10">
        <f>IFERROR(__xludf.DUMMYFUNCTION("""COMPUTED_VALUE"""),66.0)</f>
        <v>66</v>
      </c>
      <c r="X62" s="10" t="str">
        <f>IFERROR(__xludf.DUMMYFUNCTION("""COMPUTED_VALUE"""),"Non")</f>
        <v>Non</v>
      </c>
      <c r="Y62" s="10"/>
      <c r="Z62" s="10"/>
      <c r="AA62" s="10"/>
      <c r="AB62" s="10"/>
      <c r="AC62" s="10"/>
      <c r="AD62" s="10"/>
      <c r="AE62" s="10"/>
      <c r="AF62" s="10"/>
      <c r="AG62" s="10"/>
      <c r="AH62" s="10"/>
    </row>
    <row r="63">
      <c r="A63" s="10" t="str">
        <f>IFERROR(__xludf.DUMMYFUNCTION("""COMPUTED_VALUE"""),"")</f>
        <v/>
      </c>
      <c r="B63" s="10" t="str">
        <f>IFERROR(__xludf.DUMMYFUNCTION("""COMPUTED_VALUE"""),"Essaim Cratérien")</f>
        <v>Essaim Cratérien</v>
      </c>
      <c r="C63" s="10" t="str">
        <f>IFERROR(__xludf.DUMMYFUNCTION("""COMPUTED_VALUE"""),"Insecte")</f>
        <v>Insecte</v>
      </c>
      <c r="D63" s="10">
        <f>IFERROR(__xludf.DUMMYFUNCTION("""COMPUTED_VALUE"""),30.0)</f>
        <v>30</v>
      </c>
      <c r="E63" s="10">
        <f>IFERROR(__xludf.DUMMYFUNCTION("""COMPUTED_VALUE"""),1.0)</f>
        <v>1</v>
      </c>
      <c r="F63" s="10" t="str">
        <f>IFERROR(__xludf.DUMMYFUNCTION("""COMPUTED_VALUE"""),"")</f>
        <v/>
      </c>
      <c r="G63" s="10" t="str">
        <f>IFERROR(__xludf.DUMMYFUNCTION("""COMPUTED_VALUE"""),"Oui")</f>
        <v>Oui</v>
      </c>
      <c r="H63" s="10" t="str">
        <f>IFERROR(__xludf.DUMMYFUNCTION("""COMPUTED_VALUE"""),"Lente")</f>
        <v>Lente</v>
      </c>
      <c r="I63" s="10" t="str">
        <f>IFERROR(__xludf.DUMMYFUNCTION("""COMPUTED_VALUE"""),"Oui")</f>
        <v>Oui</v>
      </c>
      <c r="J63" s="10" t="str">
        <f>IFERROR(__xludf.DUMMYFUNCTION("""COMPUTED_VALUE"""),"Attaque paralysante - Toucher")</f>
        <v>Attaque paralysante - Toucher</v>
      </c>
      <c r="K63" s="10" t="str">
        <f>IFERROR(__xludf.DUMMYFUNCTION("""COMPUTED_VALUE"""),"Mort : Duplication (++)")</f>
        <v>Mort : Duplication (++)</v>
      </c>
      <c r="L63" s="10" t="str">
        <f>IFERROR(__xludf.DUMMYFUNCTION("""COMPUTED_VALUE"""),"200 ±65")</f>
        <v>200 ±65</v>
      </c>
      <c r="M63" s="10" t="str">
        <f>IFERROR(__xludf.DUMMYFUNCTION("""COMPUTED_VALUE"""),"19 ±3")</f>
        <v>19 ±3</v>
      </c>
      <c r="N63" s="10" t="str">
        <f>IFERROR(__xludf.DUMMYFUNCTION("""COMPUTED_VALUE"""),"10 ±3")</f>
        <v>10 ±3</v>
      </c>
      <c r="O63" s="10" t="str">
        <f>IFERROR(__xludf.DUMMYFUNCTION("""COMPUTED_VALUE"""),"20 ±5")</f>
        <v>20 ±5</v>
      </c>
      <c r="P63" s="10" t="str">
        <f>IFERROR(__xludf.DUMMYFUNCTION("""COMPUTED_VALUE"""),"8 ±3")</f>
        <v>8 ±3</v>
      </c>
      <c r="Q63" s="10" t="str">
        <f>IFERROR(__xludf.DUMMYFUNCTION("""COMPUTED_VALUE"""),"6 ±2")</f>
        <v>6 ±2</v>
      </c>
      <c r="R63" s="10" t="str">
        <f>IFERROR(__xludf.DUMMYFUNCTION("""COMPUTED_VALUE"""),"31 ±6")</f>
        <v>31 ±6</v>
      </c>
      <c r="S63" s="10" t="str">
        <f>IFERROR(__xludf.DUMMYFUNCTION("""COMPUTED_VALUE"""),"")</f>
        <v/>
      </c>
      <c r="T63" s="10" t="str">
        <f>IFERROR(__xludf.DUMMYFUNCTION("""COMPUTED_VALUE"""),"3100 ±1000")</f>
        <v>3100 ±1000</v>
      </c>
      <c r="U63" s="10" t="str">
        <f>IFERROR(__xludf.DUMMYFUNCTION("""COMPUTED_VALUE"""),"3100 ±400")</f>
        <v>3100 ±400</v>
      </c>
      <c r="V63" s="10" t="str">
        <f>IFERROR(__xludf.DUMMYFUNCTION("""COMPUTED_VALUE"""),"8 ±3")</f>
        <v>8 ±3</v>
      </c>
      <c r="W63" s="10">
        <f>IFERROR(__xludf.DUMMYFUNCTION("""COMPUTED_VALUE"""),12.0)</f>
        <v>12</v>
      </c>
      <c r="X63" s="10" t="str">
        <f>IFERROR(__xludf.DUMMYFUNCTION("""COMPUTED_VALUE"""),"Oui")</f>
        <v>Oui</v>
      </c>
      <c r="Y63" s="10"/>
      <c r="Z63" s="10"/>
      <c r="AA63" s="10"/>
      <c r="AB63" s="10"/>
      <c r="AC63" s="10"/>
      <c r="AD63" s="10"/>
      <c r="AE63" s="10"/>
      <c r="AF63" s="10"/>
      <c r="AG63" s="10"/>
      <c r="AH63" s="10"/>
    </row>
    <row r="64">
      <c r="A64" s="10">
        <f>IFERROR(__xludf.DUMMYFUNCTION("""COMPUTED_VALUE"""),197.0)</f>
        <v>197</v>
      </c>
      <c r="B64" s="10" t="str">
        <f>IFERROR(__xludf.DUMMYFUNCTION("""COMPUTED_VALUE"""),"Essaim Sanguinaire")</f>
        <v>Essaim Sanguinaire</v>
      </c>
      <c r="C64" s="10" t="str">
        <f>IFERROR(__xludf.DUMMYFUNCTION("""COMPUTED_VALUE"""),"Insecte")</f>
        <v>Insecte</v>
      </c>
      <c r="D64" s="10">
        <f>IFERROR(__xludf.DUMMYFUNCTION("""COMPUTED_VALUE"""),25.0)</f>
        <v>25</v>
      </c>
      <c r="E64" s="10">
        <f>IFERROR(__xludf.DUMMYFUNCTION("""COMPUTED_VALUE"""),3.0)</f>
        <v>3</v>
      </c>
      <c r="F64" s="10" t="str">
        <f>IFERROR(__xludf.DUMMYFUNCTION("""COMPUTED_VALUE"""),"")</f>
        <v/>
      </c>
      <c r="G64" s="10" t="str">
        <f>IFERROR(__xludf.DUMMYFUNCTION("""COMPUTED_VALUE"""),"Oui")</f>
        <v>Oui</v>
      </c>
      <c r="H64" s="10" t="str">
        <f>IFERROR(__xludf.DUMMYFUNCTION("""COMPUTED_VALUE"""),"Lente")</f>
        <v>Lente</v>
      </c>
      <c r="I64" s="10" t="str">
        <f>IFERROR(__xludf.DUMMYFUNCTION("""COMPUTED_VALUE"""),"Oui")</f>
        <v>Oui</v>
      </c>
      <c r="J64" s="10" t="str">
        <f>IFERROR(__xludf.DUMMYFUNCTION("""COMPUTED_VALUE"""),"Attaque paralysante - Toucher")</f>
        <v>Attaque paralysante - Toucher</v>
      </c>
      <c r="K64" s="10" t="str">
        <f>IFERROR(__xludf.DUMMYFUNCTION("""COMPUTED_VALUE"""),"-")</f>
        <v>-</v>
      </c>
      <c r="L64" s="10" t="str">
        <f>IFERROR(__xludf.DUMMYFUNCTION("""COMPUTED_VALUE"""),"105 ±35")</f>
        <v>105 ±35</v>
      </c>
      <c r="M64" s="10" t="str">
        <f>IFERROR(__xludf.DUMMYFUNCTION("""COMPUTED_VALUE"""),"12 ±4")</f>
        <v>12 ±4</v>
      </c>
      <c r="N64" s="10" t="str">
        <f>IFERROR(__xludf.DUMMYFUNCTION("""COMPUTED_VALUE"""),"8 ±3")</f>
        <v>8 ±3</v>
      </c>
      <c r="O64" s="10" t="str">
        <f>IFERROR(__xludf.DUMMYFUNCTION("""COMPUTED_VALUE"""),"12 ±3")</f>
        <v>12 ±3</v>
      </c>
      <c r="P64" s="10" t="str">
        <f>IFERROR(__xludf.DUMMYFUNCTION("""COMPUTED_VALUE"""),"8 ±3")</f>
        <v>8 ±3</v>
      </c>
      <c r="Q64" s="10" t="str">
        <f>IFERROR(__xludf.DUMMYFUNCTION("""COMPUTED_VALUE"""),"3 ±1")</f>
        <v>3 ±1</v>
      </c>
      <c r="R64" s="10" t="str">
        <f>IFERROR(__xludf.DUMMYFUNCTION("""COMPUTED_VALUE"""),"5 ±3")</f>
        <v>5 ±3</v>
      </c>
      <c r="S64" s="10" t="str">
        <f>IFERROR(__xludf.DUMMYFUNCTION("""COMPUTED_VALUE"""),"")</f>
        <v/>
      </c>
      <c r="T64" s="10" t="str">
        <f>IFERROR(__xludf.DUMMYFUNCTION("""COMPUTED_VALUE"""),"2400 ±600")</f>
        <v>2400 ±600</v>
      </c>
      <c r="U64" s="10" t="str">
        <f>IFERROR(__xludf.DUMMYFUNCTION("""COMPUTED_VALUE"""),"1900 ±500")</f>
        <v>1900 ±500</v>
      </c>
      <c r="V64" s="10" t="str">
        <f>IFERROR(__xludf.DUMMYFUNCTION("""COMPUTED_VALUE"""),"12 ±4")</f>
        <v>12 ±4</v>
      </c>
      <c r="W64" s="10">
        <f>IFERROR(__xludf.DUMMYFUNCTION("""COMPUTED_VALUE"""),22.0)</f>
        <v>22</v>
      </c>
      <c r="X64" s="10" t="str">
        <f>IFERROR(__xludf.DUMMYFUNCTION("""COMPUTED_VALUE"""),"Oui")</f>
        <v>Oui</v>
      </c>
      <c r="Y64" s="10"/>
      <c r="Z64" s="10"/>
      <c r="AA64" s="10"/>
      <c r="AB64" s="10"/>
      <c r="AC64" s="10"/>
      <c r="AD64" s="10"/>
      <c r="AE64" s="10"/>
      <c r="AF64" s="10"/>
      <c r="AG64" s="10"/>
      <c r="AH64" s="10"/>
    </row>
    <row r="65">
      <c r="A65" s="10">
        <f>IFERROR(__xludf.DUMMYFUNCTION("""COMPUTED_VALUE"""),54.0)</f>
        <v>54</v>
      </c>
      <c r="B65" s="10" t="str">
        <f>IFERROR(__xludf.DUMMYFUNCTION("""COMPUTED_VALUE"""),"Ettin")</f>
        <v>Ettin</v>
      </c>
      <c r="C65" s="10" t="str">
        <f>IFERROR(__xludf.DUMMYFUNCTION("""COMPUTED_VALUE"""),"Humanoïde")</f>
        <v>Humanoïde</v>
      </c>
      <c r="D65" s="10">
        <f>IFERROR(__xludf.DUMMYFUNCTION("""COMPUTED_VALUE"""),8.0)</f>
        <v>8</v>
      </c>
      <c r="E65" s="10">
        <f>IFERROR(__xludf.DUMMYFUNCTION("""COMPUTED_VALUE"""),1.0)</f>
        <v>1</v>
      </c>
      <c r="F65" s="10" t="str">
        <f>IFERROR(__xludf.DUMMYFUNCTION("""COMPUTED_VALUE"""),"")</f>
        <v/>
      </c>
      <c r="G65" s="10" t="str">
        <f>IFERROR(__xludf.DUMMYFUNCTION("""COMPUTED_VALUE"""),"Non")</f>
        <v>Non</v>
      </c>
      <c r="H65" s="10" t="str">
        <f>IFERROR(__xludf.DUMMYFUNCTION("""COMPUTED_VALUE"""),"Normale")</f>
        <v>Normale</v>
      </c>
      <c r="I65" s="10" t="str">
        <f>IFERROR(__xludf.DUMMYFUNCTION("""COMPUTED_VALUE"""),"Non")</f>
        <v>Non</v>
      </c>
      <c r="J65" s="10" t="str">
        <f>IFERROR(__xludf.DUMMYFUNCTION("""COMPUTED_VALUE"""),"-")</f>
        <v>-</v>
      </c>
      <c r="K65" s="10" t="str">
        <f>IFERROR(__xludf.DUMMYFUNCTION("""COMPUTED_VALUE"""),"-")</f>
        <v>-</v>
      </c>
      <c r="L65" s="10" t="str">
        <f>IFERROR(__xludf.DUMMYFUNCTION("""COMPUTED_VALUE"""),"140 ±40")</f>
        <v>140 ±40</v>
      </c>
      <c r="M65" s="10" t="str">
        <f>IFERROR(__xludf.DUMMYFUNCTION("""COMPUTED_VALUE"""),"6 ±3")</f>
        <v>6 ±3</v>
      </c>
      <c r="N65" s="10" t="str">
        <f>IFERROR(__xludf.DUMMYFUNCTION("""COMPUTED_VALUE"""),"4 ±2")</f>
        <v>4 ±2</v>
      </c>
      <c r="O65" s="10" t="str">
        <f>IFERROR(__xludf.DUMMYFUNCTION("""COMPUTED_VALUE"""),"6 ±3")</f>
        <v>6 ±3</v>
      </c>
      <c r="P65" s="10" t="str">
        <f>IFERROR(__xludf.DUMMYFUNCTION("""COMPUTED_VALUE"""),"5 ±3")</f>
        <v>5 ±3</v>
      </c>
      <c r="Q65" s="10" t="str">
        <f>IFERROR(__xludf.DUMMYFUNCTION("""COMPUTED_VALUE"""),"2 ±1")</f>
        <v>2 ±1</v>
      </c>
      <c r="R65" s="10" t="str">
        <f>IFERROR(__xludf.DUMMYFUNCTION("""COMPUTED_VALUE"""),"8 ±3")</f>
        <v>8 ±3</v>
      </c>
      <c r="S65" s="10" t="str">
        <f>IFERROR(__xludf.DUMMYFUNCTION("""COMPUTED_VALUE"""),"")</f>
        <v/>
      </c>
      <c r="T65" s="10" t="str">
        <f>IFERROR(__xludf.DUMMYFUNCTION("""COMPUTED_VALUE"""),"500 ±300")</f>
        <v>500 ±300</v>
      </c>
      <c r="U65" s="10" t="str">
        <f>IFERROR(__xludf.DUMMYFUNCTION("""COMPUTED_VALUE"""),"300 ±200")</f>
        <v>300 ±200</v>
      </c>
      <c r="V65" s="10" t="str">
        <f>IFERROR(__xludf.DUMMYFUNCTION("""COMPUTED_VALUE"""),"13 ±4")</f>
        <v>13 ±4</v>
      </c>
      <c r="W65" s="10">
        <f>IFERROR(__xludf.DUMMYFUNCTION("""COMPUTED_VALUE"""),60.0)</f>
        <v>60</v>
      </c>
      <c r="X65" s="10" t="str">
        <f>IFERROR(__xludf.DUMMYFUNCTION("""COMPUTED_VALUE"""),"Non")</f>
        <v>Non</v>
      </c>
      <c r="Y65" s="10"/>
      <c r="Z65" s="10"/>
      <c r="AA65" s="10"/>
      <c r="AB65" s="10"/>
      <c r="AC65" s="10"/>
      <c r="AD65" s="10"/>
      <c r="AE65" s="10"/>
      <c r="AF65" s="10"/>
      <c r="AG65" s="10"/>
      <c r="AH65" s="10"/>
    </row>
    <row r="66">
      <c r="A66" s="10" t="str">
        <f>IFERROR(__xludf.DUMMYFUNCTION("""COMPUTED_VALUE"""),"*Id*")</f>
        <v>*Id*</v>
      </c>
      <c r="B66" s="10" t="str">
        <f>IFERROR(__xludf.DUMMYFUNCTION("""COMPUTED_VALUE"""),"*Nom*")</f>
        <v>*Nom*</v>
      </c>
      <c r="C66" s="10" t="str">
        <f>IFERROR(__xludf.DUMMYFUNCTION("""COMPUTED_VALUE"""),"*Famille*")</f>
        <v>*Famille*</v>
      </c>
      <c r="D66" s="10" t="str">
        <f>IFERROR(__xludf.DUMMYFUNCTION("""COMPUTED_VALUE"""),"*Niv*")</f>
        <v>*Niv*</v>
      </c>
      <c r="E66" s="10" t="str">
        <f>IFERROR(__xludf.DUMMYFUNCTION("""COMPUTED_VALUE"""),"*Nb att*")</f>
        <v>*Nb att*</v>
      </c>
      <c r="F66" s="10" t="str">
        <f>IFERROR(__xludf.DUMMYFUNCTION("""COMPUTED_VALUE"""),"*Att mag*")</f>
        <v>*Att mag*</v>
      </c>
      <c r="G66" s="10" t="str">
        <f>IFERROR(__xludf.DUMMYFUNCTION("""COMPUTED_VALUE"""),"*Att dist*")</f>
        <v>*Att dist*</v>
      </c>
      <c r="H66" s="10" t="str">
        <f>IFERROR(__xludf.DUMMYFUNCTION("""COMPUTED_VALUE"""),"*Vit*")</f>
        <v>*Vit*</v>
      </c>
      <c r="I66" s="10" t="str">
        <f>IFERROR(__xludf.DUMMYFUNCTION("""COMPUTED_VALUE"""),"*VlC*")</f>
        <v>*VlC*</v>
      </c>
      <c r="J66" s="10" t="str">
        <f>IFERROR(__xludf.DUMMYFUNCTION("""COMPUTED_VALUE"""),"*Pouvoir 1*")</f>
        <v>*Pouvoir 1*</v>
      </c>
      <c r="K66" s="10" t="str">
        <f>IFERROR(__xludf.DUMMYFUNCTION("""COMPUTED_VALUE"""),"*Pouvoir 2*")</f>
        <v>*Pouvoir 2*</v>
      </c>
      <c r="L66" s="10" t="str">
        <f>IFERROR(__xludf.DUMMYFUNCTION("""COMPUTED_VALUE"""),"*PV*")</f>
        <v>*PV*</v>
      </c>
      <c r="M66" s="10" t="str">
        <f>IFERROR(__xludf.DUMMYFUNCTION("""COMPUTED_VALUE"""),"*Att*")</f>
        <v>*Att*</v>
      </c>
      <c r="N66" s="10" t="str">
        <f>IFERROR(__xludf.DUMMYFUNCTION("""COMPUTED_VALUE"""),"*Esq*")</f>
        <v>*Esq*</v>
      </c>
      <c r="O66" s="10" t="str">
        <f>IFERROR(__xludf.DUMMYFUNCTION("""COMPUTED_VALUE"""),"*Dégât*")</f>
        <v>*Dégât*</v>
      </c>
      <c r="P66" s="10" t="str">
        <f>IFERROR(__xludf.DUMMYFUNCTION("""COMPUTED_VALUE"""),"*Vue*")</f>
        <v>*Vue*</v>
      </c>
      <c r="Q66" s="10" t="str">
        <f>IFERROR(__xludf.DUMMYFUNCTION("""COMPUTED_VALUE"""),"*Régen*")</f>
        <v>*Régen*</v>
      </c>
      <c r="R66" s="10" t="str">
        <f>IFERROR(__xludf.DUMMYFUNCTION("""COMPUTED_VALUE"""),"*Arm phy*")</f>
        <v>*Arm phy*</v>
      </c>
      <c r="S66" s="10" t="str">
        <f>IFERROR(__xludf.DUMMYFUNCTION("""COMPUTED_VALUE"""),"*Arm mag*")</f>
        <v>*Arm mag*</v>
      </c>
      <c r="T66" s="10" t="str">
        <f>IFERROR(__xludf.DUMMYFUNCTION("""COMPUTED_VALUE"""),"*MM*")</f>
        <v>*MM*</v>
      </c>
      <c r="U66" s="10" t="str">
        <f>IFERROR(__xludf.DUMMYFUNCTION("""COMPUTED_VALUE"""),"*RM*")</f>
        <v>*RM*</v>
      </c>
      <c r="V66" s="10" t="str">
        <f>IFERROR(__xludf.DUMMYFUNCTION("""COMPUTED_VALUE"""),"*DLA*")</f>
        <v>*DLA*</v>
      </c>
      <c r="W66" s="10" t="str">
        <f>IFERROR(__xludf.DUMMYFUNCTION("""COMPUTED_VALUE"""),"*Echant*")</f>
        <v>*Echant*</v>
      </c>
      <c r="X66" s="10" t="str">
        <f>IFERROR(__xludf.DUMMYFUNCTION("""COMPUTED_VALUE"""),"*Vole*")</f>
        <v>*Vole*</v>
      </c>
      <c r="Y66" s="10"/>
      <c r="Z66" s="10"/>
      <c r="AA66" s="10"/>
      <c r="AB66" s="10"/>
      <c r="AC66" s="10"/>
      <c r="AD66" s="10"/>
      <c r="AE66" s="10"/>
      <c r="AF66" s="10"/>
      <c r="AG66" s="10"/>
      <c r="AH66" s="10"/>
    </row>
    <row r="67">
      <c r="A67" s="10">
        <f>IFERROR(__xludf.DUMMYFUNCTION("""COMPUTED_VALUE"""),68.0)</f>
        <v>68</v>
      </c>
      <c r="B67" s="10" t="str">
        <f>IFERROR(__xludf.DUMMYFUNCTION("""COMPUTED_VALUE"""),"Fantôme")</f>
        <v>Fantôme</v>
      </c>
      <c r="C67" s="10" t="str">
        <f>IFERROR(__xludf.DUMMYFUNCTION("""COMPUTED_VALUE"""),"Mort-Vivant")</f>
        <v>Mort-Vivant</v>
      </c>
      <c r="D67" s="10">
        <f>IFERROR(__xludf.DUMMYFUNCTION("""COMPUTED_VALUE"""),24.0)</f>
        <v>24</v>
      </c>
      <c r="E67" s="10">
        <f>IFERROR(__xludf.DUMMYFUNCTION("""COMPUTED_VALUE"""),1.0)</f>
        <v>1</v>
      </c>
      <c r="F67" s="10" t="str">
        <f>IFERROR(__xludf.DUMMYFUNCTION("""COMPUTED_VALUE"""),"Oui")</f>
        <v>Oui</v>
      </c>
      <c r="G67" s="10" t="str">
        <f>IFERROR(__xludf.DUMMYFUNCTION("""COMPUTED_VALUE"""),"Non")</f>
        <v>Non</v>
      </c>
      <c r="H67" s="10" t="str">
        <f>IFERROR(__xludf.DUMMYFUNCTION("""COMPUTED_VALUE"""),"Normale")</f>
        <v>Normale</v>
      </c>
      <c r="I67" s="10" t="str">
        <f>IFERROR(__xludf.DUMMYFUNCTION("""COMPUTED_VALUE"""),"Oui")</f>
        <v>Oui</v>
      </c>
      <c r="J67" s="10" t="str">
        <f>IFERROR(__xludf.DUMMYFUNCTION("""COMPUTED_VALUE"""),"Attaque affaiblissante - Zone")</f>
        <v>Attaque affaiblissante - Zone</v>
      </c>
      <c r="K67" s="10" t="str">
        <f>IFERROR(__xludf.DUMMYFUNCTION("""COMPUTED_VALUE"""),"Lévitation")</f>
        <v>Lévitation</v>
      </c>
      <c r="L67" s="10" t="str">
        <f>IFERROR(__xludf.DUMMYFUNCTION("""COMPUTED_VALUE"""),"50 ±25")</f>
        <v>50 ±25</v>
      </c>
      <c r="M67" s="10" t="str">
        <f>IFERROR(__xludf.DUMMYFUNCTION("""COMPUTED_VALUE"""),"15 ±4")</f>
        <v>15 ±4</v>
      </c>
      <c r="N67" s="10" t="str">
        <f>IFERROR(__xludf.DUMMYFUNCTION("""COMPUTED_VALUE"""),"13 ±4")</f>
        <v>13 ±4</v>
      </c>
      <c r="O67" s="10" t="str">
        <f>IFERROR(__xludf.DUMMYFUNCTION("""COMPUTED_VALUE"""),"8 ±3")</f>
        <v>8 ±3</v>
      </c>
      <c r="P67" s="10" t="str">
        <f>IFERROR(__xludf.DUMMYFUNCTION("""COMPUTED_VALUE"""),"4 ±2")</f>
        <v>4 ±2</v>
      </c>
      <c r="Q67" s="10" t="str">
        <f>IFERROR(__xludf.DUMMYFUNCTION("""COMPUTED_VALUE"""),"2 ±1")</f>
        <v>2 ±1</v>
      </c>
      <c r="R67" s="10" t="str">
        <f>IFERROR(__xludf.DUMMYFUNCTION("""COMPUTED_VALUE"""),"20 ±3")</f>
        <v>20 ±3</v>
      </c>
      <c r="S67" s="10" t="str">
        <f>IFERROR(__xludf.DUMMYFUNCTION("""COMPUTED_VALUE"""),"")</f>
        <v/>
      </c>
      <c r="T67" s="10" t="str">
        <f>IFERROR(__xludf.DUMMYFUNCTION("""COMPUTED_VALUE"""),"1500 ±500")</f>
        <v>1500 ±500</v>
      </c>
      <c r="U67" s="10" t="str">
        <f>IFERROR(__xludf.DUMMYFUNCTION("""COMPUTED_VALUE"""),"1000 ±300")</f>
        <v>1000 ±300</v>
      </c>
      <c r="V67" s="10" t="str">
        <f>IFERROR(__xludf.DUMMYFUNCTION("""COMPUTED_VALUE"""),"10 ±3")</f>
        <v>10 ±3</v>
      </c>
      <c r="W67" s="10">
        <f>IFERROR(__xludf.DUMMYFUNCTION("""COMPUTED_VALUE"""),95.0)</f>
        <v>95</v>
      </c>
      <c r="X67" s="10" t="str">
        <f>IFERROR(__xludf.DUMMYFUNCTION("""COMPUTED_VALUE"""),"Oui")</f>
        <v>Oui</v>
      </c>
      <c r="Y67" s="10"/>
      <c r="Z67" s="10"/>
      <c r="AA67" s="10"/>
      <c r="AB67" s="10"/>
      <c r="AC67" s="10"/>
      <c r="AD67" s="10"/>
      <c r="AE67" s="10"/>
      <c r="AF67" s="10"/>
      <c r="AG67" s="10"/>
      <c r="AH67" s="10"/>
    </row>
    <row r="68">
      <c r="A68" s="10">
        <f>IFERROR(__xludf.DUMMYFUNCTION("""COMPUTED_VALUE"""),70.0)</f>
        <v>70</v>
      </c>
      <c r="B68" s="10" t="str">
        <f>IFERROR(__xludf.DUMMYFUNCTION("""COMPUTED_VALUE"""),"Feu-Follet")</f>
        <v>Feu-Follet</v>
      </c>
      <c r="C68" s="10" t="str">
        <f>IFERROR(__xludf.DUMMYFUNCTION("""COMPUTED_VALUE"""),"Monstre")</f>
        <v>Monstre</v>
      </c>
      <c r="D68" s="10">
        <f>IFERROR(__xludf.DUMMYFUNCTION("""COMPUTED_VALUE"""),20.0)</f>
        <v>20</v>
      </c>
      <c r="E68" s="10">
        <f>IFERROR(__xludf.DUMMYFUNCTION("""COMPUTED_VALUE"""),1.0)</f>
        <v>1</v>
      </c>
      <c r="F68" s="10" t="str">
        <f>IFERROR(__xludf.DUMMYFUNCTION("""COMPUTED_VALUE"""),"Non")</f>
        <v>Non</v>
      </c>
      <c r="G68" s="10" t="str">
        <f>IFERROR(__xludf.DUMMYFUNCTION("""COMPUTED_VALUE"""),"Non")</f>
        <v>Non</v>
      </c>
      <c r="H68" s="10" t="str">
        <f>IFERROR(__xludf.DUMMYFUNCTION("""COMPUTED_VALUE"""),"Rapide")</f>
        <v>Rapide</v>
      </c>
      <c r="I68" s="10" t="str">
        <f>IFERROR(__xludf.DUMMYFUNCTION("""COMPUTED_VALUE"""),"Non")</f>
        <v>Non</v>
      </c>
      <c r="J68" s="10" t="str">
        <f>IFERROR(__xludf.DUMMYFUNCTION("""COMPUTED_VALUE"""),"Aura de feu - Zone (1)")</f>
        <v>Aura de feu - Zone (1)</v>
      </c>
      <c r="K68" s="10" t="str">
        <f>IFERROR(__xludf.DUMMYFUNCTION("""COMPUTED_VALUE"""),"-")</f>
        <v>-</v>
      </c>
      <c r="L68" s="10" t="str">
        <f>IFERROR(__xludf.DUMMYFUNCTION("""COMPUTED_VALUE"""),"50 ±25")</f>
        <v>50 ±25</v>
      </c>
      <c r="M68" s="10" t="str">
        <f>IFERROR(__xludf.DUMMYFUNCTION("""COMPUTED_VALUE"""),"6 ±3")</f>
        <v>6 ±3</v>
      </c>
      <c r="N68" s="10" t="str">
        <f>IFERROR(__xludf.DUMMYFUNCTION("""COMPUTED_VALUE"""),"16 ±4")</f>
        <v>16 ±4</v>
      </c>
      <c r="O68" s="10" t="str">
        <f>IFERROR(__xludf.DUMMYFUNCTION("""COMPUTED_VALUE"""),"4 ±3")</f>
        <v>4 ±3</v>
      </c>
      <c r="P68" s="10" t="str">
        <f>IFERROR(__xludf.DUMMYFUNCTION("""COMPUTED_VALUE"""),"5 ±3")</f>
        <v>5 ±3</v>
      </c>
      <c r="Q68" s="10" t="str">
        <f>IFERROR(__xludf.DUMMYFUNCTION("""COMPUTED_VALUE"""),"2 ±1")</f>
        <v>2 ±1</v>
      </c>
      <c r="R68" s="10" t="str">
        <f>IFERROR(__xludf.DUMMYFUNCTION("""COMPUTED_VALUE"""),"1 ±1")</f>
        <v>1 ±1</v>
      </c>
      <c r="S68" s="10" t="str">
        <f>IFERROR(__xludf.DUMMYFUNCTION("""COMPUTED_VALUE"""),"")</f>
        <v/>
      </c>
      <c r="T68" s="10" t="str">
        <f>IFERROR(__xludf.DUMMYFUNCTION("""COMPUTED_VALUE"""),"1000 ±300")</f>
        <v>1000 ±300</v>
      </c>
      <c r="U68" s="10" t="str">
        <f>IFERROR(__xludf.DUMMYFUNCTION("""COMPUTED_VALUE"""),"700 ±300")</f>
        <v>700 ±300</v>
      </c>
      <c r="V68" s="10" t="str">
        <f>IFERROR(__xludf.DUMMYFUNCTION("""COMPUTED_VALUE"""),"12 ±4")</f>
        <v>12 ±4</v>
      </c>
      <c r="W68" s="10">
        <f>IFERROR(__xludf.DUMMYFUNCTION("""COMPUTED_VALUE"""),145.0)</f>
        <v>145</v>
      </c>
      <c r="X68" s="10" t="str">
        <f>IFERROR(__xludf.DUMMYFUNCTION("""COMPUTED_VALUE"""),"")</f>
        <v/>
      </c>
      <c r="Y68" s="10"/>
      <c r="Z68" s="10"/>
      <c r="AA68" s="10"/>
      <c r="AB68" s="10"/>
      <c r="AC68" s="10"/>
      <c r="AD68" s="10"/>
      <c r="AE68" s="10"/>
      <c r="AF68" s="10"/>
      <c r="AG68" s="10"/>
      <c r="AH68" s="10"/>
    </row>
    <row r="69">
      <c r="A69" s="10">
        <f>IFERROR(__xludf.DUMMYFUNCTION("""COMPUTED_VALUE"""),210.0)</f>
        <v>210</v>
      </c>
      <c r="B69" s="10" t="str">
        <f>IFERROR(__xludf.DUMMYFUNCTION("""COMPUTED_VALUE"""),"Flagelleur Mental")</f>
        <v>Flagelleur Mental</v>
      </c>
      <c r="C69" s="10" t="str">
        <f>IFERROR(__xludf.DUMMYFUNCTION("""COMPUTED_VALUE"""),"Humanoïde")</f>
        <v>Humanoïde</v>
      </c>
      <c r="D69" s="10">
        <f>IFERROR(__xludf.DUMMYFUNCTION("""COMPUTED_VALUE"""),33.0)</f>
        <v>33</v>
      </c>
      <c r="E69" s="10">
        <f>IFERROR(__xludf.DUMMYFUNCTION("""COMPUTED_VALUE"""),1.0)</f>
        <v>1</v>
      </c>
      <c r="F69" s="10" t="str">
        <f>IFERROR(__xludf.DUMMYFUNCTION("""COMPUTED_VALUE"""),"Oui")</f>
        <v>Oui</v>
      </c>
      <c r="G69" s="10" t="str">
        <f>IFERROR(__xludf.DUMMYFUNCTION("""COMPUTED_VALUE"""),"Non")</f>
        <v>Non</v>
      </c>
      <c r="H69" s="10" t="str">
        <f>IFERROR(__xludf.DUMMYFUNCTION("""COMPUTED_VALUE"""),"Normale")</f>
        <v>Normale</v>
      </c>
      <c r="I69" s="10" t="str">
        <f>IFERROR(__xludf.DUMMYFUNCTION("""COMPUTED_VALUE"""),"Non")</f>
        <v>Non</v>
      </c>
      <c r="J69" s="10" t="str">
        <f>IFERROR(__xludf.DUMMYFUNCTION("""COMPUTED_VALUE"""),"Flagellation mentale - Auto")</f>
        <v>Flagellation mentale - Auto</v>
      </c>
      <c r="K69" s="10" t="str">
        <f>IFERROR(__xludf.DUMMYFUNCTION("""COMPUTED_VALUE"""),"-")</f>
        <v>-</v>
      </c>
      <c r="L69" s="10" t="str">
        <f>IFERROR(__xludf.DUMMYFUNCTION("""COMPUTED_VALUE"""),"155 ±40")</f>
        <v>155 ±40</v>
      </c>
      <c r="M69" s="10" t="str">
        <f>IFERROR(__xludf.DUMMYFUNCTION("""COMPUTED_VALUE"""),"16 ±4")</f>
        <v>16 ±4</v>
      </c>
      <c r="N69" s="10" t="str">
        <f>IFERROR(__xludf.DUMMYFUNCTION("""COMPUTED_VALUE"""),"12 ±4")</f>
        <v>12 ±4</v>
      </c>
      <c r="O69" s="10" t="str">
        <f>IFERROR(__xludf.DUMMYFUNCTION("""COMPUTED_VALUE"""),"14 ±4")</f>
        <v>14 ±4</v>
      </c>
      <c r="P69" s="10" t="str">
        <f>IFERROR(__xludf.DUMMYFUNCTION("""COMPUTED_VALUE"""),"4 ±3")</f>
        <v>4 ±3</v>
      </c>
      <c r="Q69" s="10" t="str">
        <f>IFERROR(__xludf.DUMMYFUNCTION("""COMPUTED_VALUE"""),"6 ±2")</f>
        <v>6 ±2</v>
      </c>
      <c r="R69" s="10" t="str">
        <f>IFERROR(__xludf.DUMMYFUNCTION("""COMPUTED_VALUE"""),"19 ±4")</f>
        <v>19 ±4</v>
      </c>
      <c r="S69" s="10" t="str">
        <f>IFERROR(__xludf.DUMMYFUNCTION("""COMPUTED_VALUE"""),"")</f>
        <v/>
      </c>
      <c r="T69" s="10" t="str">
        <f>IFERROR(__xludf.DUMMYFUNCTION("""COMPUTED_VALUE"""),"2900 ±800")</f>
        <v>2900 ±800</v>
      </c>
      <c r="U69" s="10" t="str">
        <f>IFERROR(__xludf.DUMMYFUNCTION("""COMPUTED_VALUE"""),"3700 ±700")</f>
        <v>3700 ±700</v>
      </c>
      <c r="V69" s="10" t="str">
        <f>IFERROR(__xludf.DUMMYFUNCTION("""COMPUTED_VALUE"""),"8 ±3")</f>
        <v>8 ±3</v>
      </c>
      <c r="W69" s="10">
        <f>IFERROR(__xludf.DUMMYFUNCTION("""COMPUTED_VALUE"""),45.0)</f>
        <v>45</v>
      </c>
      <c r="X69" s="10" t="str">
        <f>IFERROR(__xludf.DUMMYFUNCTION("""COMPUTED_VALUE"""),"")</f>
        <v/>
      </c>
      <c r="Y69" s="10"/>
      <c r="Z69" s="10"/>
      <c r="AA69" s="10"/>
      <c r="AB69" s="10"/>
      <c r="AC69" s="10"/>
      <c r="AD69" s="10"/>
      <c r="AE69" s="10"/>
      <c r="AF69" s="10"/>
      <c r="AG69" s="10"/>
      <c r="AH69" s="10"/>
    </row>
    <row r="70">
      <c r="A70" s="10">
        <f>IFERROR(__xludf.DUMMYFUNCTION("""COMPUTED_VALUE"""),199.0)</f>
        <v>199</v>
      </c>
      <c r="B70" s="10" t="str">
        <f>IFERROR(__xludf.DUMMYFUNCTION("""COMPUTED_VALUE"""),"Foudroyeur")</f>
        <v>Foudroyeur</v>
      </c>
      <c r="C70" s="10" t="str">
        <f>IFERROR(__xludf.DUMMYFUNCTION("""COMPUTED_VALUE"""),"Insecte")</f>
        <v>Insecte</v>
      </c>
      <c r="D70" s="10">
        <f>IFERROR(__xludf.DUMMYFUNCTION("""COMPUTED_VALUE"""),38.0)</f>
        <v>38</v>
      </c>
      <c r="E70" s="10">
        <f>IFERROR(__xludf.DUMMYFUNCTION("""COMPUTED_VALUE"""),1.0)</f>
        <v>1</v>
      </c>
      <c r="F70" s="10" t="str">
        <f>IFERROR(__xludf.DUMMYFUNCTION("""COMPUTED_VALUE"""),"Non")</f>
        <v>Non</v>
      </c>
      <c r="G70" s="10" t="str">
        <f>IFERROR(__xludf.DUMMYFUNCTION("""COMPUTED_VALUE"""),"Non")</f>
        <v>Non</v>
      </c>
      <c r="H70" s="10" t="str">
        <f>IFERROR(__xludf.DUMMYFUNCTION("""COMPUTED_VALUE"""),"Rapide")</f>
        <v>Rapide</v>
      </c>
      <c r="I70" s="10" t="str">
        <f>IFERROR(__xludf.DUMMYFUNCTION("""COMPUTED_VALUE"""),"Non")</f>
        <v>Non</v>
      </c>
      <c r="J70" s="10" t="str">
        <f>IFERROR(__xludf.DUMMYFUNCTION("""COMPUTED_VALUE"""),"Attaque électrique - Auto")</f>
        <v>Attaque électrique - Auto</v>
      </c>
      <c r="K70" s="10" t="str">
        <f>IFERROR(__xludf.DUMMYFUNCTION("""COMPUTED_VALUE"""),"-")</f>
        <v>-</v>
      </c>
      <c r="L70" s="10" t="str">
        <f>IFERROR(__xludf.DUMMYFUNCTION("""COMPUTED_VALUE"""),"90 ±35")</f>
        <v>90 ±35</v>
      </c>
      <c r="M70" s="10" t="str">
        <f>IFERROR(__xludf.DUMMYFUNCTION("""COMPUTED_VALUE"""),"17 ±4")</f>
        <v>17 ±4</v>
      </c>
      <c r="N70" s="10" t="str">
        <f>IFERROR(__xludf.DUMMYFUNCTION("""COMPUTED_VALUE"""),"12 ±4")</f>
        <v>12 ±4</v>
      </c>
      <c r="O70" s="10" t="str">
        <f>IFERROR(__xludf.DUMMYFUNCTION("""COMPUTED_VALUE"""),"17 ±3")</f>
        <v>17 ±3</v>
      </c>
      <c r="P70" s="10" t="str">
        <f>IFERROR(__xludf.DUMMYFUNCTION("""COMPUTED_VALUE"""),"5 ±3")</f>
        <v>5 ±3</v>
      </c>
      <c r="Q70" s="10" t="str">
        <f>IFERROR(__xludf.DUMMYFUNCTION("""COMPUTED_VALUE"""),"5 ±2")</f>
        <v>5 ±2</v>
      </c>
      <c r="R70" s="10" t="str">
        <f>IFERROR(__xludf.DUMMYFUNCTION("""COMPUTED_VALUE"""),"15 ±4")</f>
        <v>15 ±4</v>
      </c>
      <c r="S70" s="10" t="str">
        <f>IFERROR(__xludf.DUMMYFUNCTION("""COMPUTED_VALUE"""),"")</f>
        <v/>
      </c>
      <c r="T70" s="10" t="str">
        <f>IFERROR(__xludf.DUMMYFUNCTION("""COMPUTED_VALUE"""),"2000 ±500")</f>
        <v>2000 ±500</v>
      </c>
      <c r="U70" s="10" t="str">
        <f>IFERROR(__xludf.DUMMYFUNCTION("""COMPUTED_VALUE"""),"1500 ±400")</f>
        <v>1500 ±400</v>
      </c>
      <c r="V70" s="10" t="str">
        <f>IFERROR(__xludf.DUMMYFUNCTION("""COMPUTED_VALUE"""),"6 ±3")</f>
        <v>6 ±3</v>
      </c>
      <c r="W70" s="10">
        <f>IFERROR(__xludf.DUMMYFUNCTION("""COMPUTED_VALUE"""),67.0)</f>
        <v>67</v>
      </c>
      <c r="X70" s="10" t="str">
        <f>IFERROR(__xludf.DUMMYFUNCTION("""COMPUTED_VALUE"""),"")</f>
        <v/>
      </c>
      <c r="Y70" s="10"/>
      <c r="Z70" s="10"/>
      <c r="AA70" s="10"/>
      <c r="AB70" s="10"/>
      <c r="AC70" s="10"/>
      <c r="AD70" s="10"/>
      <c r="AE70" s="10"/>
      <c r="AF70" s="10"/>
      <c r="AG70" s="10"/>
      <c r="AH70" s="10"/>
    </row>
    <row r="71">
      <c r="A71" s="10">
        <f>IFERROR(__xludf.DUMMYFUNCTION("""COMPUTED_VALUE"""),219.0)</f>
        <v>219</v>
      </c>
      <c r="B71" s="10" t="str">
        <f>IFERROR(__xludf.DUMMYFUNCTION("""COMPUTED_VALUE"""),"Fumeux")</f>
        <v>Fumeux</v>
      </c>
      <c r="C71" s="10" t="str">
        <f>IFERROR(__xludf.DUMMYFUNCTION("""COMPUTED_VALUE"""),"Démon")</f>
        <v>Démon</v>
      </c>
      <c r="D71" s="10">
        <f>IFERROR(__xludf.DUMMYFUNCTION("""COMPUTED_VALUE"""),22.0)</f>
        <v>22</v>
      </c>
      <c r="E71" s="10">
        <f>IFERROR(__xludf.DUMMYFUNCTION("""COMPUTED_VALUE"""),1.0)</f>
        <v>1</v>
      </c>
      <c r="F71" s="10" t="str">
        <f>IFERROR(__xludf.DUMMYFUNCTION("""COMPUTED_VALUE"""),"")</f>
        <v/>
      </c>
      <c r="G71" s="10" t="str">
        <f>IFERROR(__xludf.DUMMYFUNCTION("""COMPUTED_VALUE"""),"Non")</f>
        <v>Non</v>
      </c>
      <c r="H71" s="10" t="str">
        <f>IFERROR(__xludf.DUMMYFUNCTION("""COMPUTED_VALUE"""),"Normale")</f>
        <v>Normale</v>
      </c>
      <c r="I71" s="10" t="str">
        <f>IFERROR(__xludf.DUMMYFUNCTION("""COMPUTED_VALUE"""),"Oui")</f>
        <v>Oui</v>
      </c>
      <c r="J71" s="10" t="str">
        <f>IFERROR(__xludf.DUMMYFUNCTION("""COMPUTED_VALUE"""),"Attaque aveuglante - Zone")</f>
        <v>Attaque aveuglante - Zone</v>
      </c>
      <c r="K71" s="10" t="str">
        <f>IFERROR(__xludf.DUMMYFUNCTION("""COMPUTED_VALUE"""),"Enfumage")</f>
        <v>Enfumage</v>
      </c>
      <c r="L71" s="10" t="str">
        <f>IFERROR(__xludf.DUMMYFUNCTION("""COMPUTED_VALUE"""),"60 ±35")</f>
        <v>60 ±35</v>
      </c>
      <c r="M71" s="10" t="str">
        <f>IFERROR(__xludf.DUMMYFUNCTION("""COMPUTED_VALUE"""),"6 ±3")</f>
        <v>6 ±3</v>
      </c>
      <c r="N71" s="10" t="str">
        <f>IFERROR(__xludf.DUMMYFUNCTION("""COMPUTED_VALUE"""),"16 ±3")</f>
        <v>16 ±3</v>
      </c>
      <c r="O71" s="10" t="str">
        <f>IFERROR(__xludf.DUMMYFUNCTION("""COMPUTED_VALUE"""),"6 ±3")</f>
        <v>6 ±3</v>
      </c>
      <c r="P71" s="10" t="str">
        <f>IFERROR(__xludf.DUMMYFUNCTION("""COMPUTED_VALUE"""),"10 ±4")</f>
        <v>10 ±4</v>
      </c>
      <c r="Q71" s="10" t="str">
        <f>IFERROR(__xludf.DUMMYFUNCTION("""COMPUTED_VALUE"""),"7 ±2")</f>
        <v>7 ±2</v>
      </c>
      <c r="R71" s="10" t="str">
        <f>IFERROR(__xludf.DUMMYFUNCTION("""COMPUTED_VALUE"""),"20 ±4")</f>
        <v>20 ±4</v>
      </c>
      <c r="S71" s="10" t="str">
        <f>IFERROR(__xludf.DUMMYFUNCTION("""COMPUTED_VALUE"""),"")</f>
        <v/>
      </c>
      <c r="T71" s="10" t="str">
        <f>IFERROR(__xludf.DUMMYFUNCTION("""COMPUTED_VALUE"""),"1600 ±400")</f>
        <v>1600 ±400</v>
      </c>
      <c r="U71" s="10" t="str">
        <f>IFERROR(__xludf.DUMMYFUNCTION("""COMPUTED_VALUE"""),"1500 ±400")</f>
        <v>1500 ±400</v>
      </c>
      <c r="V71" s="10" t="str">
        <f>IFERROR(__xludf.DUMMYFUNCTION("""COMPUTED_VALUE"""),"10 ±3")</f>
        <v>10 ±3</v>
      </c>
      <c r="W71" s="10">
        <f>IFERROR(__xludf.DUMMYFUNCTION("""COMPUTED_VALUE"""),13.0)</f>
        <v>13</v>
      </c>
      <c r="X71" s="10" t="str">
        <f>IFERROR(__xludf.DUMMYFUNCTION("""COMPUTED_VALUE"""),"")</f>
        <v/>
      </c>
      <c r="Y71" s="10"/>
      <c r="Z71" s="10"/>
      <c r="AA71" s="10"/>
      <c r="AB71" s="10"/>
      <c r="AC71" s="10"/>
      <c r="AD71" s="10"/>
      <c r="AE71" s="10"/>
      <c r="AF71" s="10"/>
      <c r="AG71" s="10"/>
      <c r="AH71" s="10"/>
    </row>
    <row r="72">
      <c r="A72" s="10">
        <f>IFERROR(__xludf.DUMMYFUNCTION("""COMPUTED_VALUE"""),84.0)</f>
        <v>84</v>
      </c>
      <c r="B72" s="10" t="str">
        <f>IFERROR(__xludf.DUMMYFUNCTION("""COMPUTED_VALUE"""),"Fungus Geant")</f>
        <v>Fungus Geant</v>
      </c>
      <c r="C72" s="10" t="str">
        <f>IFERROR(__xludf.DUMMYFUNCTION("""COMPUTED_VALUE"""),"Monstre")</f>
        <v>Monstre</v>
      </c>
      <c r="D72" s="10">
        <f>IFERROR(__xludf.DUMMYFUNCTION("""COMPUTED_VALUE"""),9.0)</f>
        <v>9</v>
      </c>
      <c r="E72" s="10">
        <f>IFERROR(__xludf.DUMMYFUNCTION("""COMPUTED_VALUE"""),1.0)</f>
        <v>1</v>
      </c>
      <c r="F72" s="10" t="str">
        <f>IFERROR(__xludf.DUMMYFUNCTION("""COMPUTED_VALUE"""),"Non")</f>
        <v>Non</v>
      </c>
      <c r="G72" s="10" t="str">
        <f>IFERROR(__xludf.DUMMYFUNCTION("""COMPUTED_VALUE"""),"Oui")</f>
        <v>Oui</v>
      </c>
      <c r="H72" s="10" t="str">
        <f>IFERROR(__xludf.DUMMYFUNCTION("""COMPUTED_VALUE"""),"Normale")</f>
        <v>Normale</v>
      </c>
      <c r="I72" s="10" t="str">
        <f>IFERROR(__xludf.DUMMYFUNCTION("""COMPUTED_VALUE"""),"Oui")</f>
        <v>Oui</v>
      </c>
      <c r="J72" s="10" t="str">
        <f>IFERROR(__xludf.DUMMYFUNCTION("""COMPUTED_VALUE"""),"Spore - Zone")</f>
        <v>Spore - Zone</v>
      </c>
      <c r="K72" s="10" t="str">
        <f>IFERROR(__xludf.DUMMYFUNCTION("""COMPUTED_VALUE"""),"-")</f>
        <v>-</v>
      </c>
      <c r="L72" s="10" t="str">
        <f>IFERROR(__xludf.DUMMYFUNCTION("""COMPUTED_VALUE"""),"15 ±20")</f>
        <v>15 ±20</v>
      </c>
      <c r="M72" s="10" t="str">
        <f>IFERROR(__xludf.DUMMYFUNCTION("""COMPUTED_VALUE"""),"6 ±3")</f>
        <v>6 ±3</v>
      </c>
      <c r="N72" s="10" t="str">
        <f>IFERROR(__xludf.DUMMYFUNCTION("""COMPUTED_VALUE"""),"1 ±2")</f>
        <v>1 ±2</v>
      </c>
      <c r="O72" s="10" t="str">
        <f>IFERROR(__xludf.DUMMYFUNCTION("""COMPUTED_VALUE"""),"4 ±3")</f>
        <v>4 ±3</v>
      </c>
      <c r="P72" s="10" t="str">
        <f>IFERROR(__xludf.DUMMYFUNCTION("""COMPUTED_VALUE"""),"4 ±3")</f>
        <v>4 ±3</v>
      </c>
      <c r="Q72" s="10" t="str">
        <f>IFERROR(__xludf.DUMMYFUNCTION("""COMPUTED_VALUE"""),"5 ±2")</f>
        <v>5 ±2</v>
      </c>
      <c r="R72" s="10" t="str">
        <f>IFERROR(__xludf.DUMMYFUNCTION("""COMPUTED_VALUE"""),"3 ±3")</f>
        <v>3 ±3</v>
      </c>
      <c r="S72" s="10" t="str">
        <f>IFERROR(__xludf.DUMMYFUNCTION("""COMPUTED_VALUE"""),"")</f>
        <v/>
      </c>
      <c r="T72" s="10" t="str">
        <f>IFERROR(__xludf.DUMMYFUNCTION("""COMPUTED_VALUE"""),"500 ±300")</f>
        <v>500 ±300</v>
      </c>
      <c r="U72" s="10" t="str">
        <f>IFERROR(__xludf.DUMMYFUNCTION("""COMPUTED_VALUE"""),"500 ±300")</f>
        <v>500 ±300</v>
      </c>
      <c r="V72" s="10" t="str">
        <f>IFERROR(__xludf.DUMMYFUNCTION("""COMPUTED_VALUE"""),"14 ±3")</f>
        <v>14 ±3</v>
      </c>
      <c r="W72" s="10">
        <f>IFERROR(__xludf.DUMMYFUNCTION("""COMPUTED_VALUE"""),21.0)</f>
        <v>21</v>
      </c>
      <c r="X72" s="10" t="str">
        <f>IFERROR(__xludf.DUMMYFUNCTION("""COMPUTED_VALUE"""),"")</f>
        <v/>
      </c>
      <c r="Y72" s="10"/>
      <c r="Z72" s="10"/>
      <c r="AA72" s="10"/>
      <c r="AB72" s="10"/>
      <c r="AC72" s="10"/>
      <c r="AD72" s="10"/>
      <c r="AE72" s="10"/>
      <c r="AF72" s="10"/>
      <c r="AG72" s="10"/>
      <c r="AH72" s="10"/>
    </row>
    <row r="73">
      <c r="A73" s="10">
        <f>IFERROR(__xludf.DUMMYFUNCTION("""COMPUTED_VALUE"""),113.0)</f>
        <v>113</v>
      </c>
      <c r="B73" s="10" t="str">
        <f>IFERROR(__xludf.DUMMYFUNCTION("""COMPUTED_VALUE"""),"Fungus Violet")</f>
        <v>Fungus Violet</v>
      </c>
      <c r="C73" s="10" t="str">
        <f>IFERROR(__xludf.DUMMYFUNCTION("""COMPUTED_VALUE"""),"Monstre")</f>
        <v>Monstre</v>
      </c>
      <c r="D73" s="10">
        <f>IFERROR(__xludf.DUMMYFUNCTION("""COMPUTED_VALUE"""),4.0)</f>
        <v>4</v>
      </c>
      <c r="E73" s="10">
        <f>IFERROR(__xludf.DUMMYFUNCTION("""COMPUTED_VALUE"""),1.0)</f>
        <v>1</v>
      </c>
      <c r="F73" s="10" t="str">
        <f>IFERROR(__xludf.DUMMYFUNCTION("""COMPUTED_VALUE"""),"")</f>
        <v/>
      </c>
      <c r="G73" s="10" t="str">
        <f>IFERROR(__xludf.DUMMYFUNCTION("""COMPUTED_VALUE"""),"Oui")</f>
        <v>Oui</v>
      </c>
      <c r="H73" s="10" t="str">
        <f>IFERROR(__xludf.DUMMYFUNCTION("""COMPUTED_VALUE"""),"Normale")</f>
        <v>Normale</v>
      </c>
      <c r="I73" s="10" t="str">
        <f>IFERROR(__xludf.DUMMYFUNCTION("""COMPUTED_VALUE"""),"Oui")</f>
        <v>Oui</v>
      </c>
      <c r="J73" s="10" t="str">
        <f>IFERROR(__xludf.DUMMYFUNCTION("""COMPUTED_VALUE"""),"Spore - Zone")</f>
        <v>Spore - Zone</v>
      </c>
      <c r="K73" s="10" t="str">
        <f>IFERROR(__xludf.DUMMYFUNCTION("""COMPUTED_VALUE"""),"-")</f>
        <v>-</v>
      </c>
      <c r="L73" s="10" t="str">
        <f>IFERROR(__xludf.DUMMYFUNCTION("""COMPUTED_VALUE"""),"20 ±25")</f>
        <v>20 ±25</v>
      </c>
      <c r="M73" s="10" t="str">
        <f>IFERROR(__xludf.DUMMYFUNCTION("""COMPUTED_VALUE"""),"6 ±4")</f>
        <v>6 ±4</v>
      </c>
      <c r="N73" s="10" t="str">
        <f>IFERROR(__xludf.DUMMYFUNCTION("""COMPUTED_VALUE"""),"1 ±1")</f>
        <v>1 ±1</v>
      </c>
      <c r="O73" s="10" t="str">
        <f>IFERROR(__xludf.DUMMYFUNCTION("""COMPUTED_VALUE"""),"3 ±3")</f>
        <v>3 ±3</v>
      </c>
      <c r="P73" s="10" t="str">
        <f>IFERROR(__xludf.DUMMYFUNCTION("""COMPUTED_VALUE"""),"4 ±4")</f>
        <v>4 ±4</v>
      </c>
      <c r="Q73" s="10" t="str">
        <f>IFERROR(__xludf.DUMMYFUNCTION("""COMPUTED_VALUE"""),"1 ±1")</f>
        <v>1 ±1</v>
      </c>
      <c r="R73" s="10" t="str">
        <f>IFERROR(__xludf.DUMMYFUNCTION("""COMPUTED_VALUE"""),"1 ±1")</f>
        <v>1 ±1</v>
      </c>
      <c r="S73" s="10" t="str">
        <f>IFERROR(__xludf.DUMMYFUNCTION("""COMPUTED_VALUE"""),"")</f>
        <v/>
      </c>
      <c r="T73" s="10" t="str">
        <f>IFERROR(__xludf.DUMMYFUNCTION("""COMPUTED_VALUE"""),"400 ±300")</f>
        <v>400 ±300</v>
      </c>
      <c r="U73" s="10" t="str">
        <f>IFERROR(__xludf.DUMMYFUNCTION("""COMPUTED_VALUE"""),"500 ±300")</f>
        <v>500 ±300</v>
      </c>
      <c r="V73" s="10" t="str">
        <f>IFERROR(__xludf.DUMMYFUNCTION("""COMPUTED_VALUE"""),"14 ±3")</f>
        <v>14 ±3</v>
      </c>
      <c r="W73" s="10">
        <f>IFERROR(__xludf.DUMMYFUNCTION("""COMPUTED_VALUE"""),7.0)</f>
        <v>7</v>
      </c>
      <c r="X73" s="10" t="str">
        <f>IFERROR(__xludf.DUMMYFUNCTION("""COMPUTED_VALUE"""),"")</f>
        <v/>
      </c>
      <c r="Y73" s="10"/>
      <c r="Z73" s="10"/>
      <c r="AA73" s="10"/>
      <c r="AB73" s="10"/>
      <c r="AC73" s="10"/>
      <c r="AD73" s="10"/>
      <c r="AE73" s="10"/>
      <c r="AF73" s="10"/>
      <c r="AG73" s="10"/>
      <c r="AH73" s="10"/>
    </row>
    <row r="74">
      <c r="A74" s="10" t="str">
        <f>IFERROR(__xludf.DUMMYFUNCTION("""COMPUTED_VALUE"""),"*Id*")</f>
        <v>*Id*</v>
      </c>
      <c r="B74" s="10" t="str">
        <f>IFERROR(__xludf.DUMMYFUNCTION("""COMPUTED_VALUE"""),"*Nom*")</f>
        <v>*Nom*</v>
      </c>
      <c r="C74" s="10" t="str">
        <f>IFERROR(__xludf.DUMMYFUNCTION("""COMPUTED_VALUE"""),"*Famille*")</f>
        <v>*Famille*</v>
      </c>
      <c r="D74" s="10" t="str">
        <f>IFERROR(__xludf.DUMMYFUNCTION("""COMPUTED_VALUE"""),"*Niv*")</f>
        <v>*Niv*</v>
      </c>
      <c r="E74" s="10" t="str">
        <f>IFERROR(__xludf.DUMMYFUNCTION("""COMPUTED_VALUE"""),"*Nb att*")</f>
        <v>*Nb att*</v>
      </c>
      <c r="F74" s="10" t="str">
        <f>IFERROR(__xludf.DUMMYFUNCTION("""COMPUTED_VALUE"""),"*Att mag*")</f>
        <v>*Att mag*</v>
      </c>
      <c r="G74" s="10" t="str">
        <f>IFERROR(__xludf.DUMMYFUNCTION("""COMPUTED_VALUE"""),"*Att dist*")</f>
        <v>*Att dist*</v>
      </c>
      <c r="H74" s="10" t="str">
        <f>IFERROR(__xludf.DUMMYFUNCTION("""COMPUTED_VALUE"""),"*Vit*")</f>
        <v>*Vit*</v>
      </c>
      <c r="I74" s="10" t="str">
        <f>IFERROR(__xludf.DUMMYFUNCTION("""COMPUTED_VALUE"""),"*VlC*")</f>
        <v>*VlC*</v>
      </c>
      <c r="J74" s="10" t="str">
        <f>IFERROR(__xludf.DUMMYFUNCTION("""COMPUTED_VALUE"""),"*Pouvoir 1*")</f>
        <v>*Pouvoir 1*</v>
      </c>
      <c r="K74" s="10" t="str">
        <f>IFERROR(__xludf.DUMMYFUNCTION("""COMPUTED_VALUE"""),"*Pouvoir 2*")</f>
        <v>*Pouvoir 2*</v>
      </c>
      <c r="L74" s="10" t="str">
        <f>IFERROR(__xludf.DUMMYFUNCTION("""COMPUTED_VALUE"""),"*PV*")</f>
        <v>*PV*</v>
      </c>
      <c r="M74" s="10" t="str">
        <f>IFERROR(__xludf.DUMMYFUNCTION("""COMPUTED_VALUE"""),"*Att*")</f>
        <v>*Att*</v>
      </c>
      <c r="N74" s="10" t="str">
        <f>IFERROR(__xludf.DUMMYFUNCTION("""COMPUTED_VALUE"""),"*Esq*")</f>
        <v>*Esq*</v>
      </c>
      <c r="O74" s="10" t="str">
        <f>IFERROR(__xludf.DUMMYFUNCTION("""COMPUTED_VALUE"""),"*Dégât*")</f>
        <v>*Dégât*</v>
      </c>
      <c r="P74" s="10" t="str">
        <f>IFERROR(__xludf.DUMMYFUNCTION("""COMPUTED_VALUE"""),"*Vue*")</f>
        <v>*Vue*</v>
      </c>
      <c r="Q74" s="10" t="str">
        <f>IFERROR(__xludf.DUMMYFUNCTION("""COMPUTED_VALUE"""),"*Régen*")</f>
        <v>*Régen*</v>
      </c>
      <c r="R74" s="10" t="str">
        <f>IFERROR(__xludf.DUMMYFUNCTION("""COMPUTED_VALUE"""),"*Arm phy*")</f>
        <v>*Arm phy*</v>
      </c>
      <c r="S74" s="10" t="str">
        <f>IFERROR(__xludf.DUMMYFUNCTION("""COMPUTED_VALUE"""),"*Arm mag*")</f>
        <v>*Arm mag*</v>
      </c>
      <c r="T74" s="10" t="str">
        <f>IFERROR(__xludf.DUMMYFUNCTION("""COMPUTED_VALUE"""),"*MM*")</f>
        <v>*MM*</v>
      </c>
      <c r="U74" s="10" t="str">
        <f>IFERROR(__xludf.DUMMYFUNCTION("""COMPUTED_VALUE"""),"*RM*")</f>
        <v>*RM*</v>
      </c>
      <c r="V74" s="10" t="str">
        <f>IFERROR(__xludf.DUMMYFUNCTION("""COMPUTED_VALUE"""),"*DLA*")</f>
        <v>*DLA*</v>
      </c>
      <c r="W74" s="10" t="str">
        <f>IFERROR(__xludf.DUMMYFUNCTION("""COMPUTED_VALUE"""),"*Echant*")</f>
        <v>*Echant*</v>
      </c>
      <c r="X74" s="10" t="str">
        <f>IFERROR(__xludf.DUMMYFUNCTION("""COMPUTED_VALUE"""),"*Vole*")</f>
        <v>*Vole*</v>
      </c>
      <c r="Y74" s="10"/>
      <c r="Z74" s="10"/>
      <c r="AA74" s="10"/>
      <c r="AB74" s="10"/>
      <c r="AC74" s="10"/>
      <c r="AD74" s="10"/>
      <c r="AE74" s="10"/>
      <c r="AF74" s="10"/>
      <c r="AG74" s="10"/>
      <c r="AH74" s="10"/>
    </row>
    <row r="75">
      <c r="A75" s="10">
        <f>IFERROR(__xludf.DUMMYFUNCTION("""COMPUTED_VALUE"""),200.0)</f>
        <v>200</v>
      </c>
      <c r="B75" s="10" t="str">
        <f>IFERROR(__xludf.DUMMYFUNCTION("""COMPUTED_VALUE"""),"Furgolin")</f>
        <v>Furgolin</v>
      </c>
      <c r="C75" s="10" t="str">
        <f>IFERROR(__xludf.DUMMYFUNCTION("""COMPUTED_VALUE"""),"Humanoïde")</f>
        <v>Humanoïde</v>
      </c>
      <c r="D75" s="10">
        <f>IFERROR(__xludf.DUMMYFUNCTION("""COMPUTED_VALUE"""),10.0)</f>
        <v>10</v>
      </c>
      <c r="E75" s="10">
        <f>IFERROR(__xludf.DUMMYFUNCTION("""COMPUTED_VALUE"""),1.0)</f>
        <v>1</v>
      </c>
      <c r="F75" s="10" t="str">
        <f>IFERROR(__xludf.DUMMYFUNCTION("""COMPUTED_VALUE"""),"")</f>
        <v/>
      </c>
      <c r="G75" s="10" t="str">
        <f>IFERROR(__xludf.DUMMYFUNCTION("""COMPUTED_VALUE"""),"Non")</f>
        <v>Non</v>
      </c>
      <c r="H75" s="10" t="str">
        <f>IFERROR(__xludf.DUMMYFUNCTION("""COMPUTED_VALUE"""),"Rapide")</f>
        <v>Rapide</v>
      </c>
      <c r="I75" s="10" t="str">
        <f>IFERROR(__xludf.DUMMYFUNCTION("""COMPUTED_VALUE"""),"Non")</f>
        <v>Non</v>
      </c>
      <c r="J75" s="10" t="str">
        <f>IFERROR(__xludf.DUMMYFUNCTION("""COMPUTED_VALUE"""),"-")</f>
        <v>-</v>
      </c>
      <c r="K75" s="10" t="str">
        <f>IFERROR(__xludf.DUMMYFUNCTION("""COMPUTED_VALUE"""),"-")</f>
        <v>-</v>
      </c>
      <c r="L75" s="10" t="str">
        <f>IFERROR(__xludf.DUMMYFUNCTION("""COMPUTED_VALUE"""),"70 ±30")</f>
        <v>70 ±30</v>
      </c>
      <c r="M75" s="10" t="str">
        <f>IFERROR(__xludf.DUMMYFUNCTION("""COMPUTED_VALUE"""),"5 ±3")</f>
        <v>5 ±3</v>
      </c>
      <c r="N75" s="10" t="str">
        <f>IFERROR(__xludf.DUMMYFUNCTION("""COMPUTED_VALUE"""),"8 ±3")</f>
        <v>8 ±3</v>
      </c>
      <c r="O75" s="10" t="str">
        <f>IFERROR(__xludf.DUMMYFUNCTION("""COMPUTED_VALUE"""),"7 ±3")</f>
        <v>7 ±3</v>
      </c>
      <c r="P75" s="10" t="str">
        <f>IFERROR(__xludf.DUMMYFUNCTION("""COMPUTED_VALUE"""),"6 ±3")</f>
        <v>6 ±3</v>
      </c>
      <c r="Q75" s="10" t="str">
        <f>IFERROR(__xludf.DUMMYFUNCTION("""COMPUTED_VALUE"""),"3 ±1")</f>
        <v>3 ±1</v>
      </c>
      <c r="R75" s="10" t="str">
        <f>IFERROR(__xludf.DUMMYFUNCTION("""COMPUTED_VALUE"""),"10 ±3")</f>
        <v>10 ±3</v>
      </c>
      <c r="S75" s="10" t="str">
        <f>IFERROR(__xludf.DUMMYFUNCTION("""COMPUTED_VALUE"""),"")</f>
        <v/>
      </c>
      <c r="T75" s="10" t="str">
        <f>IFERROR(__xludf.DUMMYFUNCTION("""COMPUTED_VALUE"""),"400 ±300")</f>
        <v>400 ±300</v>
      </c>
      <c r="U75" s="10" t="str">
        <f>IFERROR(__xludf.DUMMYFUNCTION("""COMPUTED_VALUE"""),"400 ±300")</f>
        <v>400 ±300</v>
      </c>
      <c r="V75" s="10" t="str">
        <f>IFERROR(__xludf.DUMMYFUNCTION("""COMPUTED_VALUE"""),"12 ±4")</f>
        <v>12 ±4</v>
      </c>
      <c r="W75" s="10">
        <f>IFERROR(__xludf.DUMMYFUNCTION("""COMPUTED_VALUE"""),29.0)</f>
        <v>29</v>
      </c>
      <c r="X75" s="10" t="str">
        <f>IFERROR(__xludf.DUMMYFUNCTION("""COMPUTED_VALUE"""),"")</f>
        <v/>
      </c>
      <c r="Y75" s="10"/>
      <c r="Z75" s="10"/>
      <c r="AA75" s="10"/>
      <c r="AB75" s="10"/>
      <c r="AC75" s="10"/>
      <c r="AD75" s="10"/>
      <c r="AE75" s="10"/>
      <c r="AF75" s="10"/>
      <c r="AG75" s="10"/>
      <c r="AH75" s="10"/>
    </row>
    <row r="76">
      <c r="A76" s="10">
        <f>IFERROR(__xludf.DUMMYFUNCTION("""COMPUTED_VALUE"""),85.0)</f>
        <v>85</v>
      </c>
      <c r="B76" s="10" t="str">
        <f>IFERROR(__xludf.DUMMYFUNCTION("""COMPUTED_VALUE"""),"Gargouille")</f>
        <v>Gargouille</v>
      </c>
      <c r="C76" s="10" t="str">
        <f>IFERROR(__xludf.DUMMYFUNCTION("""COMPUTED_VALUE"""),"Monstre")</f>
        <v>Monstre</v>
      </c>
      <c r="D76" s="10">
        <f>IFERROR(__xludf.DUMMYFUNCTION("""COMPUTED_VALUE"""),3.0)</f>
        <v>3</v>
      </c>
      <c r="E76" s="10">
        <f>IFERROR(__xludf.DUMMYFUNCTION("""COMPUTED_VALUE"""),1.0)</f>
        <v>1</v>
      </c>
      <c r="F76" s="10" t="str">
        <f>IFERROR(__xludf.DUMMYFUNCTION("""COMPUTED_VALUE"""),"")</f>
        <v/>
      </c>
      <c r="G76" s="10" t="str">
        <f>IFERROR(__xludf.DUMMYFUNCTION("""COMPUTED_VALUE"""),"Non")</f>
        <v>Non</v>
      </c>
      <c r="H76" s="10" t="str">
        <f>IFERROR(__xludf.DUMMYFUNCTION("""COMPUTED_VALUE"""),"Rapide")</f>
        <v>Rapide</v>
      </c>
      <c r="I76" s="10" t="str">
        <f>IFERROR(__xludf.DUMMYFUNCTION("""COMPUTED_VALUE"""),"Non")</f>
        <v>Non</v>
      </c>
      <c r="J76" s="10" t="str">
        <f>IFERROR(__xludf.DUMMYFUNCTION("""COMPUTED_VALUE"""),"-")</f>
        <v>-</v>
      </c>
      <c r="K76" s="10" t="str">
        <f>IFERROR(__xludf.DUMMYFUNCTION("""COMPUTED_VALUE"""),"-")</f>
        <v>-</v>
      </c>
      <c r="L76" s="10" t="str">
        <f>IFERROR(__xludf.DUMMYFUNCTION("""COMPUTED_VALUE"""),"75 ±30")</f>
        <v>75 ±30</v>
      </c>
      <c r="M76" s="10" t="str">
        <f>IFERROR(__xludf.DUMMYFUNCTION("""COMPUTED_VALUE"""),"4 ±3")</f>
        <v>4 ±3</v>
      </c>
      <c r="N76" s="10" t="str">
        <f>IFERROR(__xludf.DUMMYFUNCTION("""COMPUTED_VALUE"""),"4 ±3")</f>
        <v>4 ±3</v>
      </c>
      <c r="O76" s="10" t="str">
        <f>IFERROR(__xludf.DUMMYFUNCTION("""COMPUTED_VALUE"""),"4 ±3")</f>
        <v>4 ±3</v>
      </c>
      <c r="P76" s="10" t="str">
        <f>IFERROR(__xludf.DUMMYFUNCTION("""COMPUTED_VALUE"""),"2 ±2")</f>
        <v>2 ±2</v>
      </c>
      <c r="Q76" s="10" t="str">
        <f>IFERROR(__xludf.DUMMYFUNCTION("""COMPUTED_VALUE"""),"1 ±1")</f>
        <v>1 ±1</v>
      </c>
      <c r="R76" s="10" t="str">
        <f>IFERROR(__xludf.DUMMYFUNCTION("""COMPUTED_VALUE"""),"10 ±3")</f>
        <v>10 ±3</v>
      </c>
      <c r="S76" s="10" t="str">
        <f>IFERROR(__xludf.DUMMYFUNCTION("""COMPUTED_VALUE"""),"")</f>
        <v/>
      </c>
      <c r="T76" s="10" t="str">
        <f>IFERROR(__xludf.DUMMYFUNCTION("""COMPUTED_VALUE"""),"")</f>
        <v/>
      </c>
      <c r="U76" s="10" t="str">
        <f>IFERROR(__xludf.DUMMYFUNCTION("""COMPUTED_VALUE"""),"")</f>
        <v/>
      </c>
      <c r="V76" s="10" t="str">
        <f>IFERROR(__xludf.DUMMYFUNCTION("""COMPUTED_VALUE"""),"")</f>
        <v/>
      </c>
      <c r="W76" s="10">
        <f>IFERROR(__xludf.DUMMYFUNCTION("""COMPUTED_VALUE"""),17.0)</f>
        <v>17</v>
      </c>
      <c r="X76" s="10" t="str">
        <f>IFERROR(__xludf.DUMMYFUNCTION("""COMPUTED_VALUE"""),"")</f>
        <v/>
      </c>
      <c r="Y76" s="10"/>
      <c r="Z76" s="10"/>
      <c r="AA76" s="10"/>
      <c r="AB76" s="10"/>
      <c r="AC76" s="10"/>
      <c r="AD76" s="10"/>
      <c r="AE76" s="10"/>
      <c r="AF76" s="10"/>
      <c r="AG76" s="10"/>
      <c r="AH76" s="10"/>
    </row>
    <row r="77">
      <c r="A77" s="10">
        <f>IFERROR(__xludf.DUMMYFUNCTION("""COMPUTED_VALUE"""),61.0)</f>
        <v>61</v>
      </c>
      <c r="B77" s="10" t="str">
        <f>IFERROR(__xludf.DUMMYFUNCTION("""COMPUTED_VALUE"""),"Géant de Pierre")</f>
        <v>Géant de Pierre</v>
      </c>
      <c r="C77" s="10" t="str">
        <f>IFERROR(__xludf.DUMMYFUNCTION("""COMPUTED_VALUE"""),"Humanoïde")</f>
        <v>Humanoïde</v>
      </c>
      <c r="D77" s="10">
        <f>IFERROR(__xludf.DUMMYFUNCTION("""COMPUTED_VALUE"""),13.0)</f>
        <v>13</v>
      </c>
      <c r="E77" s="10">
        <f>IFERROR(__xludf.DUMMYFUNCTION("""COMPUTED_VALUE"""),1.0)</f>
        <v>1</v>
      </c>
      <c r="F77" s="10" t="str">
        <f>IFERROR(__xludf.DUMMYFUNCTION("""COMPUTED_VALUE"""),"Non")</f>
        <v>Non</v>
      </c>
      <c r="G77" s="10" t="str">
        <f>IFERROR(__xludf.DUMMYFUNCTION("""COMPUTED_VALUE"""),"Non")</f>
        <v>Non</v>
      </c>
      <c r="H77" s="10" t="str">
        <f>IFERROR(__xludf.DUMMYFUNCTION("""COMPUTED_VALUE"""),"Normale")</f>
        <v>Normale</v>
      </c>
      <c r="I77" s="10" t="str">
        <f>IFERROR(__xludf.DUMMYFUNCTION("""COMPUTED_VALUE"""),"Non")</f>
        <v>Non</v>
      </c>
      <c r="J77" s="10" t="str">
        <f>IFERROR(__xludf.DUMMYFUNCTION("""COMPUTED_VALUE"""),"Attaque étourdissante - Toucher")</f>
        <v>Attaque étourdissante - Toucher</v>
      </c>
      <c r="K77" s="10" t="str">
        <f>IFERROR(__xludf.DUMMYFUNCTION("""COMPUTED_VALUE"""),"-")</f>
        <v>-</v>
      </c>
      <c r="L77" s="10" t="str">
        <f>IFERROR(__xludf.DUMMYFUNCTION("""COMPUTED_VALUE"""),"170 ±45")</f>
        <v>170 ±45</v>
      </c>
      <c r="M77" s="10" t="str">
        <f>IFERROR(__xludf.DUMMYFUNCTION("""COMPUTED_VALUE"""),"8 ±3")</f>
        <v>8 ±3</v>
      </c>
      <c r="N77" s="10" t="str">
        <f>IFERROR(__xludf.DUMMYFUNCTION("""COMPUTED_VALUE"""),"5 ±3")</f>
        <v>5 ±3</v>
      </c>
      <c r="O77" s="10" t="str">
        <f>IFERROR(__xludf.DUMMYFUNCTION("""COMPUTED_VALUE"""),"9 ±3")</f>
        <v>9 ±3</v>
      </c>
      <c r="P77" s="10" t="str">
        <f>IFERROR(__xludf.DUMMYFUNCTION("""COMPUTED_VALUE"""),"3 ±2")</f>
        <v>3 ±2</v>
      </c>
      <c r="Q77" s="10" t="str">
        <f>IFERROR(__xludf.DUMMYFUNCTION("""COMPUTED_VALUE"""),"2 ±1")</f>
        <v>2 ±1</v>
      </c>
      <c r="R77" s="10" t="str">
        <f>IFERROR(__xludf.DUMMYFUNCTION("""COMPUTED_VALUE"""),"15 ±4")</f>
        <v>15 ±4</v>
      </c>
      <c r="S77" s="10" t="str">
        <f>IFERROR(__xludf.DUMMYFUNCTION("""COMPUTED_VALUE"""),"")</f>
        <v/>
      </c>
      <c r="T77" s="10" t="str">
        <f>IFERROR(__xludf.DUMMYFUNCTION("""COMPUTED_VALUE"""),"600 ±300")</f>
        <v>600 ±300</v>
      </c>
      <c r="U77" s="10" t="str">
        <f>IFERROR(__xludf.DUMMYFUNCTION("""COMPUTED_VALUE"""),"300 ±200")</f>
        <v>300 ±200</v>
      </c>
      <c r="V77" s="10" t="str">
        <f>IFERROR(__xludf.DUMMYFUNCTION("""COMPUTED_VALUE"""),"13 ±3")</f>
        <v>13 ±3</v>
      </c>
      <c r="W77" s="10">
        <f>IFERROR(__xludf.DUMMYFUNCTION("""COMPUTED_VALUE"""),60.0)</f>
        <v>60</v>
      </c>
      <c r="X77" s="10" t="str">
        <f>IFERROR(__xludf.DUMMYFUNCTION("""COMPUTED_VALUE"""),"")</f>
        <v/>
      </c>
      <c r="Y77" s="10"/>
      <c r="Z77" s="10"/>
      <c r="AA77" s="10"/>
      <c r="AB77" s="10"/>
      <c r="AC77" s="10"/>
      <c r="AD77" s="10"/>
      <c r="AE77" s="10"/>
      <c r="AF77" s="10"/>
      <c r="AG77" s="10"/>
      <c r="AH77" s="10"/>
    </row>
    <row r="78">
      <c r="A78" s="10">
        <f>IFERROR(__xludf.DUMMYFUNCTION("""COMPUTED_VALUE"""),114.0)</f>
        <v>114</v>
      </c>
      <c r="B78" s="10" t="str">
        <f>IFERROR(__xludf.DUMMYFUNCTION("""COMPUTED_VALUE"""),"Géant des Gouffres")</f>
        <v>Géant des Gouffres</v>
      </c>
      <c r="C78" s="10" t="str">
        <f>IFERROR(__xludf.DUMMYFUNCTION("""COMPUTED_VALUE"""),"Humanoïde")</f>
        <v>Humanoïde</v>
      </c>
      <c r="D78" s="10">
        <f>IFERROR(__xludf.DUMMYFUNCTION("""COMPUTED_VALUE"""),22.0)</f>
        <v>22</v>
      </c>
      <c r="E78" s="10">
        <f>IFERROR(__xludf.DUMMYFUNCTION("""COMPUTED_VALUE"""),1.0)</f>
        <v>1</v>
      </c>
      <c r="F78" s="10" t="str">
        <f>IFERROR(__xludf.DUMMYFUNCTION("""COMPUTED_VALUE"""),"")</f>
        <v/>
      </c>
      <c r="G78" s="10" t="str">
        <f>IFERROR(__xludf.DUMMYFUNCTION("""COMPUTED_VALUE"""),"Non")</f>
        <v>Non</v>
      </c>
      <c r="H78" s="10" t="str">
        <f>IFERROR(__xludf.DUMMYFUNCTION("""COMPUTED_VALUE"""),"Rapide")</f>
        <v>Rapide</v>
      </c>
      <c r="I78" s="10" t="str">
        <f>IFERROR(__xludf.DUMMYFUNCTION("""COMPUTED_VALUE"""),"Non")</f>
        <v>Non</v>
      </c>
      <c r="J78" s="10" t="str">
        <f>IFERROR(__xludf.DUMMYFUNCTION("""COMPUTED_VALUE"""),"Attaque électrique - Zone")</f>
        <v>Attaque électrique - Zone</v>
      </c>
      <c r="K78" s="10" t="str">
        <f>IFERROR(__xludf.DUMMYFUNCTION("""COMPUTED_VALUE"""),"-")</f>
        <v>-</v>
      </c>
      <c r="L78" s="10" t="str">
        <f>IFERROR(__xludf.DUMMYFUNCTION("""COMPUTED_VALUE"""),"140 ±40")</f>
        <v>140 ±40</v>
      </c>
      <c r="M78" s="10" t="str">
        <f>IFERROR(__xludf.DUMMYFUNCTION("""COMPUTED_VALUE"""),"10 ±3")</f>
        <v>10 ±3</v>
      </c>
      <c r="N78" s="10" t="str">
        <f>IFERROR(__xludf.DUMMYFUNCTION("""COMPUTED_VALUE"""),"11 ±4")</f>
        <v>11 ±4</v>
      </c>
      <c r="O78" s="10" t="str">
        <f>IFERROR(__xludf.DUMMYFUNCTION("""COMPUTED_VALUE"""),"14 ±4")</f>
        <v>14 ±4</v>
      </c>
      <c r="P78" s="10" t="str">
        <f>IFERROR(__xludf.DUMMYFUNCTION("""COMPUTED_VALUE"""),"3 ±2")</f>
        <v>3 ±2</v>
      </c>
      <c r="Q78" s="10" t="str">
        <f>IFERROR(__xludf.DUMMYFUNCTION("""COMPUTED_VALUE"""),"1 ±1")</f>
        <v>1 ±1</v>
      </c>
      <c r="R78" s="10" t="str">
        <f>IFERROR(__xludf.DUMMYFUNCTION("""COMPUTED_VALUE"""),"13 ±4")</f>
        <v>13 ±4</v>
      </c>
      <c r="S78" s="10" t="str">
        <f>IFERROR(__xludf.DUMMYFUNCTION("""COMPUTED_VALUE"""),"")</f>
        <v/>
      </c>
      <c r="T78" s="10" t="str">
        <f>IFERROR(__xludf.DUMMYFUNCTION("""COMPUTED_VALUE"""),"2000 ±600")</f>
        <v>2000 ±600</v>
      </c>
      <c r="U78" s="10" t="str">
        <f>IFERROR(__xludf.DUMMYFUNCTION("""COMPUTED_VALUE"""),"500 ±300")</f>
        <v>500 ±300</v>
      </c>
      <c r="V78" s="10" t="str">
        <f>IFERROR(__xludf.DUMMYFUNCTION("""COMPUTED_VALUE"""),"12 ±3")</f>
        <v>12 ±3</v>
      </c>
      <c r="W78" s="10">
        <f>IFERROR(__xludf.DUMMYFUNCTION("""COMPUTED_VALUE"""),183.0)</f>
        <v>183</v>
      </c>
      <c r="X78" s="10" t="str">
        <f>IFERROR(__xludf.DUMMYFUNCTION("""COMPUTED_VALUE"""),"")</f>
        <v/>
      </c>
      <c r="Y78" s="10"/>
      <c r="Z78" s="10"/>
      <c r="AA78" s="10"/>
      <c r="AB78" s="10"/>
      <c r="AC78" s="10"/>
      <c r="AD78" s="10"/>
      <c r="AE78" s="10"/>
      <c r="AF78" s="10"/>
      <c r="AG78" s="10"/>
      <c r="AH78" s="10"/>
    </row>
    <row r="79">
      <c r="A79" s="10">
        <f>IFERROR(__xludf.DUMMYFUNCTION("""COMPUTED_VALUE"""),230.0)</f>
        <v>230</v>
      </c>
      <c r="B79" s="10" t="str">
        <f>IFERROR(__xludf.DUMMYFUNCTION("""COMPUTED_VALUE"""),"Geck'oo")</f>
        <v>Geck'oo</v>
      </c>
      <c r="C79" s="10" t="str">
        <f>IFERROR(__xludf.DUMMYFUNCTION("""COMPUTED_VALUE"""),"Animal")</f>
        <v>Animal</v>
      </c>
      <c r="D79" s="10">
        <f>IFERROR(__xludf.DUMMYFUNCTION("""COMPUTED_VALUE"""),15.0)</f>
        <v>15</v>
      </c>
      <c r="E79" s="10">
        <f>IFERROR(__xludf.DUMMYFUNCTION("""COMPUTED_VALUE"""),1.0)</f>
        <v>1</v>
      </c>
      <c r="F79" s="10" t="str">
        <f>IFERROR(__xludf.DUMMYFUNCTION("""COMPUTED_VALUE"""),"")</f>
        <v/>
      </c>
      <c r="G79" s="10" t="str">
        <f>IFERROR(__xludf.DUMMYFUNCTION("""COMPUTED_VALUE"""),"Oui")</f>
        <v>Oui</v>
      </c>
      <c r="H79" s="10" t="str">
        <f>IFERROR(__xludf.DUMMYFUNCTION("""COMPUTED_VALUE"""),"Lente")</f>
        <v>Lente</v>
      </c>
      <c r="I79" s="10" t="str">
        <f>IFERROR(__xludf.DUMMYFUNCTION("""COMPUTED_VALUE"""),"Non")</f>
        <v>Non</v>
      </c>
      <c r="J79" s="10" t="str">
        <f>IFERROR(__xludf.DUMMYFUNCTION("""COMPUTED_VALUE"""),"-")</f>
        <v>-</v>
      </c>
      <c r="K79" s="10" t="str">
        <f>IFERROR(__xludf.DUMMYFUNCTION("""COMPUTED_VALUE"""),"Camouflage")</f>
        <v>Camouflage</v>
      </c>
      <c r="L79" s="10" t="str">
        <f>IFERROR(__xludf.DUMMYFUNCTION("""COMPUTED_VALUE"""),"120 ±35")</f>
        <v>120 ±35</v>
      </c>
      <c r="M79" s="10" t="str">
        <f>IFERROR(__xludf.DUMMYFUNCTION("""COMPUTED_VALUE"""),"11 ±3")</f>
        <v>11 ±3</v>
      </c>
      <c r="N79" s="10" t="str">
        <f>IFERROR(__xludf.DUMMYFUNCTION("""COMPUTED_VALUE"""),"8 ±2")</f>
        <v>8 ±2</v>
      </c>
      <c r="O79" s="10" t="str">
        <f>IFERROR(__xludf.DUMMYFUNCTION("""COMPUTED_VALUE"""),"8 ±3")</f>
        <v>8 ±3</v>
      </c>
      <c r="P79" s="10" t="str">
        <f>IFERROR(__xludf.DUMMYFUNCTION("""COMPUTED_VALUE"""),"4 ±2")</f>
        <v>4 ±2</v>
      </c>
      <c r="Q79" s="10" t="str">
        <f>IFERROR(__xludf.DUMMYFUNCTION("""COMPUTED_VALUE"""),"1 ±1")</f>
        <v>1 ±1</v>
      </c>
      <c r="R79" s="10" t="str">
        <f>IFERROR(__xludf.DUMMYFUNCTION("""COMPUTED_VALUE"""),"5 ±3")</f>
        <v>5 ±3</v>
      </c>
      <c r="S79" s="10" t="str">
        <f>IFERROR(__xludf.DUMMYFUNCTION("""COMPUTED_VALUE"""),"")</f>
        <v/>
      </c>
      <c r="T79" s="10" t="str">
        <f>IFERROR(__xludf.DUMMYFUNCTION("""COMPUTED_VALUE"""),"100 ±")</f>
        <v>100 ±</v>
      </c>
      <c r="U79" s="10" t="str">
        <f>IFERROR(__xludf.DUMMYFUNCTION("""COMPUTED_VALUE"""),"1000 ±300")</f>
        <v>1000 ±300</v>
      </c>
      <c r="V79" s="10" t="str">
        <f>IFERROR(__xludf.DUMMYFUNCTION("""COMPUTED_VALUE"""),"10 ±3")</f>
        <v>10 ±3</v>
      </c>
      <c r="W79" s="10">
        <f>IFERROR(__xludf.DUMMYFUNCTION("""COMPUTED_VALUE"""),2.0)</f>
        <v>2</v>
      </c>
      <c r="X79" s="10" t="str">
        <f>IFERROR(__xludf.DUMMYFUNCTION("""COMPUTED_VALUE"""),"")</f>
        <v/>
      </c>
      <c r="Y79" s="10"/>
      <c r="Z79" s="10"/>
      <c r="AA79" s="10"/>
      <c r="AB79" s="10"/>
      <c r="AC79" s="10"/>
      <c r="AD79" s="10"/>
      <c r="AE79" s="10"/>
      <c r="AF79" s="10"/>
      <c r="AG79" s="10"/>
      <c r="AH79" s="10"/>
    </row>
    <row r="80">
      <c r="A80" s="10" t="str">
        <f>IFERROR(__xludf.DUMMYFUNCTION("""COMPUTED_VALUE"""),"")</f>
        <v/>
      </c>
      <c r="B80" s="10" t="str">
        <f>IFERROR(__xludf.DUMMYFUNCTION("""COMPUTED_VALUE"""),"Geck'oo majestueux")</f>
        <v>Geck'oo majestueux</v>
      </c>
      <c r="C80" s="10" t="str">
        <f>IFERROR(__xludf.DUMMYFUNCTION("""COMPUTED_VALUE"""),"Animal")</f>
        <v>Animal</v>
      </c>
      <c r="D80" s="10">
        <f>IFERROR(__xludf.DUMMYFUNCTION("""COMPUTED_VALUE"""),40.0)</f>
        <v>40</v>
      </c>
      <c r="E80" s="10">
        <f>IFERROR(__xludf.DUMMYFUNCTION("""COMPUTED_VALUE"""),2.0)</f>
        <v>2</v>
      </c>
      <c r="F80" s="10" t="str">
        <f>IFERROR(__xludf.DUMMYFUNCTION("""COMPUTED_VALUE"""),"Non")</f>
        <v>Non</v>
      </c>
      <c r="G80" s="10" t="str">
        <f>IFERROR(__xludf.DUMMYFUNCTION("""COMPUTED_VALUE"""),"Oui")</f>
        <v>Oui</v>
      </c>
      <c r="H80" s="10" t="str">
        <f>IFERROR(__xludf.DUMMYFUNCTION("""COMPUTED_VALUE"""),"")</f>
        <v/>
      </c>
      <c r="I80" s="10" t="str">
        <f>IFERROR(__xludf.DUMMYFUNCTION("""COMPUTED_VALUE"""),"")</f>
        <v/>
      </c>
      <c r="J80" s="10" t="str">
        <f>IFERROR(__xludf.DUMMYFUNCTION("""COMPUTED_VALUE"""),"-")</f>
        <v>-</v>
      </c>
      <c r="K80" s="10" t="str">
        <f>IFERROR(__xludf.DUMMYFUNCTION("""COMPUTED_VALUE"""),"Camouflage")</f>
        <v>Camouflage</v>
      </c>
      <c r="L80" s="10" t="str">
        <f>IFERROR(__xludf.DUMMYFUNCTION("""COMPUTED_VALUE"""),"")</f>
        <v/>
      </c>
      <c r="M80" s="10" t="str">
        <f>IFERROR(__xludf.DUMMYFUNCTION("""COMPUTED_VALUE"""),"")</f>
        <v/>
      </c>
      <c r="N80" s="10" t="str">
        <f>IFERROR(__xludf.DUMMYFUNCTION("""COMPUTED_VALUE"""),"")</f>
        <v/>
      </c>
      <c r="O80" s="10" t="str">
        <f>IFERROR(__xludf.DUMMYFUNCTION("""COMPUTED_VALUE"""),"")</f>
        <v/>
      </c>
      <c r="P80" s="10" t="str">
        <f>IFERROR(__xludf.DUMMYFUNCTION("""COMPUTED_VALUE"""),"")</f>
        <v/>
      </c>
      <c r="Q80" s="10" t="str">
        <f>IFERROR(__xludf.DUMMYFUNCTION("""COMPUTED_VALUE"""),"")</f>
        <v/>
      </c>
      <c r="R80" s="10" t="str">
        <f>IFERROR(__xludf.DUMMYFUNCTION("""COMPUTED_VALUE"""),"")</f>
        <v/>
      </c>
      <c r="S80" s="10" t="str">
        <f>IFERROR(__xludf.DUMMYFUNCTION("""COMPUTED_VALUE"""),"")</f>
        <v/>
      </c>
      <c r="T80" s="10" t="str">
        <f>IFERROR(__xludf.DUMMYFUNCTION("""COMPUTED_VALUE"""),"")</f>
        <v/>
      </c>
      <c r="U80" s="10" t="str">
        <f>IFERROR(__xludf.DUMMYFUNCTION("""COMPUTED_VALUE"""),"")</f>
        <v/>
      </c>
      <c r="V80" s="10" t="str">
        <f>IFERROR(__xludf.DUMMYFUNCTION("""COMPUTED_VALUE"""),"")</f>
        <v/>
      </c>
      <c r="W80" s="10" t="str">
        <f>IFERROR(__xludf.DUMMYFUNCTION("""COMPUTED_VALUE"""),"")</f>
        <v/>
      </c>
      <c r="X80" s="10" t="str">
        <f>IFERROR(__xludf.DUMMYFUNCTION("""COMPUTED_VALUE"""),"")</f>
        <v/>
      </c>
      <c r="Y80" s="10"/>
      <c r="Z80" s="10"/>
      <c r="AA80" s="10"/>
      <c r="AB80" s="10"/>
      <c r="AC80" s="10"/>
      <c r="AD80" s="10"/>
      <c r="AE80" s="10"/>
      <c r="AF80" s="10"/>
      <c r="AG80" s="10"/>
      <c r="AH80" s="10"/>
    </row>
    <row r="81">
      <c r="A81" s="10">
        <f>IFERROR(__xludf.DUMMYFUNCTION("""COMPUTED_VALUE"""),191.0)</f>
        <v>191</v>
      </c>
      <c r="B81" s="10" t="str">
        <f>IFERROR(__xludf.DUMMYFUNCTION("""COMPUTED_VALUE"""),"Glouton")</f>
        <v>Glouton</v>
      </c>
      <c r="C81" s="10" t="str">
        <f>IFERROR(__xludf.DUMMYFUNCTION("""COMPUTED_VALUE"""),"Animal")</f>
        <v>Animal</v>
      </c>
      <c r="D81" s="10">
        <f>IFERROR(__xludf.DUMMYFUNCTION("""COMPUTED_VALUE"""),20.0)</f>
        <v>20</v>
      </c>
      <c r="E81" s="10">
        <f>IFERROR(__xludf.DUMMYFUNCTION("""COMPUTED_VALUE"""),1.0)</f>
        <v>1</v>
      </c>
      <c r="F81" s="10" t="str">
        <f>IFERROR(__xludf.DUMMYFUNCTION("""COMPUTED_VALUE"""),"Non")</f>
        <v>Non</v>
      </c>
      <c r="G81" s="10" t="str">
        <f>IFERROR(__xludf.DUMMYFUNCTION("""COMPUTED_VALUE"""),"Non")</f>
        <v>Non</v>
      </c>
      <c r="H81" s="10" t="str">
        <f>IFERROR(__xludf.DUMMYFUNCTION("""COMPUTED_VALUE"""),"Rapide")</f>
        <v>Rapide</v>
      </c>
      <c r="I81" s="10" t="str">
        <f>IFERROR(__xludf.DUMMYFUNCTION("""COMPUTED_VALUE"""),"Non")</f>
        <v>Non</v>
      </c>
      <c r="J81" s="10" t="str">
        <f>IFERROR(__xludf.DUMMYFUNCTION("""COMPUTED_VALUE"""),"-")</f>
        <v>-</v>
      </c>
      <c r="K81" s="10" t="str">
        <f>IFERROR(__xludf.DUMMYFUNCTION("""COMPUTED_VALUE"""),"Grignotage")</f>
        <v>Grignotage</v>
      </c>
      <c r="L81" s="10" t="str">
        <f>IFERROR(__xludf.DUMMYFUNCTION("""COMPUTED_VALUE"""),"80 ±30")</f>
        <v>80 ±30</v>
      </c>
      <c r="M81" s="10" t="str">
        <f>IFERROR(__xludf.DUMMYFUNCTION("""COMPUTED_VALUE"""),"13 ±4")</f>
        <v>13 ±4</v>
      </c>
      <c r="N81" s="10" t="str">
        <f>IFERROR(__xludf.DUMMYFUNCTION("""COMPUTED_VALUE"""),"10 ±3")</f>
        <v>10 ±3</v>
      </c>
      <c r="O81" s="10" t="str">
        <f>IFERROR(__xludf.DUMMYFUNCTION("""COMPUTED_VALUE"""),"10 ±3")</f>
        <v>10 ±3</v>
      </c>
      <c r="P81" s="10" t="str">
        <f>IFERROR(__xludf.DUMMYFUNCTION("""COMPUTED_VALUE"""),"4 ±2")</f>
        <v>4 ±2</v>
      </c>
      <c r="Q81" s="10" t="str">
        <f>IFERROR(__xludf.DUMMYFUNCTION("""COMPUTED_VALUE"""),"3 ±1")</f>
        <v>3 ±1</v>
      </c>
      <c r="R81" s="10" t="str">
        <f>IFERROR(__xludf.DUMMYFUNCTION("""COMPUTED_VALUE"""),"10 ±3")</f>
        <v>10 ±3</v>
      </c>
      <c r="S81" s="10" t="str">
        <f>IFERROR(__xludf.DUMMYFUNCTION("""COMPUTED_VALUE"""),"")</f>
        <v/>
      </c>
      <c r="T81" s="10" t="str">
        <f>IFERROR(__xludf.DUMMYFUNCTION("""COMPUTED_VALUE"""),"100 ±200")</f>
        <v>100 ±200</v>
      </c>
      <c r="U81" s="10" t="str">
        <f>IFERROR(__xludf.DUMMYFUNCTION("""COMPUTED_VALUE"""),"400 ±300")</f>
        <v>400 ±300</v>
      </c>
      <c r="V81" s="10" t="str">
        <f>IFERROR(__xludf.DUMMYFUNCTION("""COMPUTED_VALUE"""),"12 ±4")</f>
        <v>12 ±4</v>
      </c>
      <c r="W81" s="10">
        <f>IFERROR(__xludf.DUMMYFUNCTION("""COMPUTED_VALUE"""),48.0)</f>
        <v>48</v>
      </c>
      <c r="X81" s="10" t="str">
        <f>IFERROR(__xludf.DUMMYFUNCTION("""COMPUTED_VALUE"""),"")</f>
        <v/>
      </c>
      <c r="Y81" s="10"/>
      <c r="Z81" s="10"/>
      <c r="AA81" s="10"/>
      <c r="AB81" s="10"/>
      <c r="AC81" s="10"/>
      <c r="AD81" s="10"/>
      <c r="AE81" s="10"/>
      <c r="AF81" s="10"/>
      <c r="AG81" s="10"/>
      <c r="AH81" s="10"/>
    </row>
    <row r="82">
      <c r="A82" s="10" t="str">
        <f>IFERROR(__xludf.DUMMYFUNCTION("""COMPUTED_VALUE"""),"*Id*")</f>
        <v>*Id*</v>
      </c>
      <c r="B82" s="10" t="str">
        <f>IFERROR(__xludf.DUMMYFUNCTION("""COMPUTED_VALUE"""),"*Nom*")</f>
        <v>*Nom*</v>
      </c>
      <c r="C82" s="10" t="str">
        <f>IFERROR(__xludf.DUMMYFUNCTION("""COMPUTED_VALUE"""),"*Famille*")</f>
        <v>*Famille*</v>
      </c>
      <c r="D82" s="10" t="str">
        <f>IFERROR(__xludf.DUMMYFUNCTION("""COMPUTED_VALUE"""),"*Niv*")</f>
        <v>*Niv*</v>
      </c>
      <c r="E82" s="10" t="str">
        <f>IFERROR(__xludf.DUMMYFUNCTION("""COMPUTED_VALUE"""),"*Nb att*")</f>
        <v>*Nb att*</v>
      </c>
      <c r="F82" s="10" t="str">
        <f>IFERROR(__xludf.DUMMYFUNCTION("""COMPUTED_VALUE"""),"*Att mag*")</f>
        <v>*Att mag*</v>
      </c>
      <c r="G82" s="10" t="str">
        <f>IFERROR(__xludf.DUMMYFUNCTION("""COMPUTED_VALUE"""),"*Att dist*")</f>
        <v>*Att dist*</v>
      </c>
      <c r="H82" s="10" t="str">
        <f>IFERROR(__xludf.DUMMYFUNCTION("""COMPUTED_VALUE"""),"*Vit*")</f>
        <v>*Vit*</v>
      </c>
      <c r="I82" s="10" t="str">
        <f>IFERROR(__xludf.DUMMYFUNCTION("""COMPUTED_VALUE"""),"*VlC*")</f>
        <v>*VlC*</v>
      </c>
      <c r="J82" s="10" t="str">
        <f>IFERROR(__xludf.DUMMYFUNCTION("""COMPUTED_VALUE"""),"*Pouvoir 1*")</f>
        <v>*Pouvoir 1*</v>
      </c>
      <c r="K82" s="10" t="str">
        <f>IFERROR(__xludf.DUMMYFUNCTION("""COMPUTED_VALUE"""),"*Pouvoir 2*")</f>
        <v>*Pouvoir 2*</v>
      </c>
      <c r="L82" s="10" t="str">
        <f>IFERROR(__xludf.DUMMYFUNCTION("""COMPUTED_VALUE"""),"*PV*")</f>
        <v>*PV*</v>
      </c>
      <c r="M82" s="10" t="str">
        <f>IFERROR(__xludf.DUMMYFUNCTION("""COMPUTED_VALUE"""),"*Att*")</f>
        <v>*Att*</v>
      </c>
      <c r="N82" s="10" t="str">
        <f>IFERROR(__xludf.DUMMYFUNCTION("""COMPUTED_VALUE"""),"*Esq*")</f>
        <v>*Esq*</v>
      </c>
      <c r="O82" s="10" t="str">
        <f>IFERROR(__xludf.DUMMYFUNCTION("""COMPUTED_VALUE"""),"*Dégât*")</f>
        <v>*Dégât*</v>
      </c>
      <c r="P82" s="10" t="str">
        <f>IFERROR(__xludf.DUMMYFUNCTION("""COMPUTED_VALUE"""),"*Vue*")</f>
        <v>*Vue*</v>
      </c>
      <c r="Q82" s="10" t="str">
        <f>IFERROR(__xludf.DUMMYFUNCTION("""COMPUTED_VALUE"""),"*Régen*")</f>
        <v>*Régen*</v>
      </c>
      <c r="R82" s="10" t="str">
        <f>IFERROR(__xludf.DUMMYFUNCTION("""COMPUTED_VALUE"""),"*Arm phy*")</f>
        <v>*Arm phy*</v>
      </c>
      <c r="S82" s="10" t="str">
        <f>IFERROR(__xludf.DUMMYFUNCTION("""COMPUTED_VALUE"""),"*Arm mag*")</f>
        <v>*Arm mag*</v>
      </c>
      <c r="T82" s="10" t="str">
        <f>IFERROR(__xludf.DUMMYFUNCTION("""COMPUTED_VALUE"""),"*MM*")</f>
        <v>*MM*</v>
      </c>
      <c r="U82" s="10" t="str">
        <f>IFERROR(__xludf.DUMMYFUNCTION("""COMPUTED_VALUE"""),"*RM*")</f>
        <v>*RM*</v>
      </c>
      <c r="V82" s="10" t="str">
        <f>IFERROR(__xludf.DUMMYFUNCTION("""COMPUTED_VALUE"""),"*DLA*")</f>
        <v>*DLA*</v>
      </c>
      <c r="W82" s="10" t="str">
        <f>IFERROR(__xludf.DUMMYFUNCTION("""COMPUTED_VALUE"""),"*Echant*")</f>
        <v>*Echant*</v>
      </c>
      <c r="X82" s="10" t="str">
        <f>IFERROR(__xludf.DUMMYFUNCTION("""COMPUTED_VALUE"""),"*Vole*")</f>
        <v>*Vole*</v>
      </c>
      <c r="Y82" s="10"/>
      <c r="Z82" s="10"/>
      <c r="AA82" s="10"/>
      <c r="AB82" s="10"/>
      <c r="AC82" s="10"/>
      <c r="AD82" s="10"/>
      <c r="AE82" s="10"/>
      <c r="AF82" s="10"/>
      <c r="AG82" s="10"/>
      <c r="AH82" s="10"/>
    </row>
    <row r="83">
      <c r="A83" s="10">
        <f>IFERROR(__xludf.DUMMYFUNCTION("""COMPUTED_VALUE"""),86.0)</f>
        <v>86</v>
      </c>
      <c r="B83" s="10" t="str">
        <f>IFERROR(__xludf.DUMMYFUNCTION("""COMPUTED_VALUE"""),"Gnoll")</f>
        <v>Gnoll</v>
      </c>
      <c r="C83" s="10" t="str">
        <f>IFERROR(__xludf.DUMMYFUNCTION("""COMPUTED_VALUE"""),"Humanoïde")</f>
        <v>Humanoïde</v>
      </c>
      <c r="D83" s="10">
        <f>IFERROR(__xludf.DUMMYFUNCTION("""COMPUTED_VALUE"""),5.0)</f>
        <v>5</v>
      </c>
      <c r="E83" s="10">
        <f>IFERROR(__xludf.DUMMYFUNCTION("""COMPUTED_VALUE"""),1.0)</f>
        <v>1</v>
      </c>
      <c r="F83" s="10" t="str">
        <f>IFERROR(__xludf.DUMMYFUNCTION("""COMPUTED_VALUE"""),"")</f>
        <v/>
      </c>
      <c r="G83" s="10" t="str">
        <f>IFERROR(__xludf.DUMMYFUNCTION("""COMPUTED_VALUE"""),"Non")</f>
        <v>Non</v>
      </c>
      <c r="H83" s="10" t="str">
        <f>IFERROR(__xludf.DUMMYFUNCTION("""COMPUTED_VALUE"""),"Normale")</f>
        <v>Normale</v>
      </c>
      <c r="I83" s="10" t="str">
        <f>IFERROR(__xludf.DUMMYFUNCTION("""COMPUTED_VALUE"""),"Non")</f>
        <v>Non</v>
      </c>
      <c r="J83" s="10" t="str">
        <f>IFERROR(__xludf.DUMMYFUNCTION("""COMPUTED_VALUE"""),"-")</f>
        <v>-</v>
      </c>
      <c r="K83" s="10" t="str">
        <f>IFERROR(__xludf.DUMMYFUNCTION("""COMPUTED_VALUE"""),"-")</f>
        <v>-</v>
      </c>
      <c r="L83" s="10" t="str">
        <f>IFERROR(__xludf.DUMMYFUNCTION("""COMPUTED_VALUE"""),"45 ±35")</f>
        <v>45 ±35</v>
      </c>
      <c r="M83" s="10" t="str">
        <f>IFERROR(__xludf.DUMMYFUNCTION("""COMPUTED_VALUE"""),"5 ±3")</f>
        <v>5 ±3</v>
      </c>
      <c r="N83" s="10" t="str">
        <f>IFERROR(__xludf.DUMMYFUNCTION("""COMPUTED_VALUE"""),"4 ±3")</f>
        <v>4 ±3</v>
      </c>
      <c r="O83" s="10" t="str">
        <f>IFERROR(__xludf.DUMMYFUNCTION("""COMPUTED_VALUE"""),"5 ±3")</f>
        <v>5 ±3</v>
      </c>
      <c r="P83" s="10" t="str">
        <f>IFERROR(__xludf.DUMMYFUNCTION("""COMPUTED_VALUE"""),"2 ±2")</f>
        <v>2 ±2</v>
      </c>
      <c r="Q83" s="10" t="str">
        <f>IFERROR(__xludf.DUMMYFUNCTION("""COMPUTED_VALUE"""),"1 ±1")</f>
        <v>1 ±1</v>
      </c>
      <c r="R83" s="10" t="str">
        <f>IFERROR(__xludf.DUMMYFUNCTION("""COMPUTED_VALUE"""),"2 ±2")</f>
        <v>2 ±2</v>
      </c>
      <c r="S83" s="10" t="str">
        <f>IFERROR(__xludf.DUMMYFUNCTION("""COMPUTED_VALUE"""),"")</f>
        <v/>
      </c>
      <c r="T83" s="10" t="str">
        <f>IFERROR(__xludf.DUMMYFUNCTION("""COMPUTED_VALUE"""),"100 ±0")</f>
        <v>100 ±0</v>
      </c>
      <c r="U83" s="10" t="str">
        <f>IFERROR(__xludf.DUMMYFUNCTION("""COMPUTED_VALUE"""),"100 ±100")</f>
        <v>100 ±100</v>
      </c>
      <c r="V83" s="10" t="str">
        <f>IFERROR(__xludf.DUMMYFUNCTION("""COMPUTED_VALUE"""),"14 ±3")</f>
        <v>14 ±3</v>
      </c>
      <c r="W83" s="10">
        <f>IFERROR(__xludf.DUMMYFUNCTION("""COMPUTED_VALUE"""),17.0)</f>
        <v>17</v>
      </c>
      <c r="X83" s="10" t="str">
        <f>IFERROR(__xludf.DUMMYFUNCTION("""COMPUTED_VALUE"""),"")</f>
        <v/>
      </c>
      <c r="Y83" s="10"/>
      <c r="Z83" s="10"/>
      <c r="AA83" s="10"/>
      <c r="AB83" s="10"/>
      <c r="AC83" s="10"/>
      <c r="AD83" s="10"/>
      <c r="AE83" s="10"/>
      <c r="AF83" s="10"/>
      <c r="AG83" s="10"/>
      <c r="AH83" s="10"/>
    </row>
    <row r="84">
      <c r="A84" s="10">
        <f>IFERROR(__xludf.DUMMYFUNCTION("""COMPUTED_VALUE"""),138.0)</f>
        <v>138</v>
      </c>
      <c r="B84" s="10" t="str">
        <f>IFERROR(__xludf.DUMMYFUNCTION("""COMPUTED_VALUE"""),"Gnu Sauvage")</f>
        <v>Gnu Sauvage</v>
      </c>
      <c r="C84" s="10" t="str">
        <f>IFERROR(__xludf.DUMMYFUNCTION("""COMPUTED_VALUE"""),"Animal")</f>
        <v>Animal</v>
      </c>
      <c r="D84" s="10">
        <f>IFERROR(__xludf.DUMMYFUNCTION("""COMPUTED_VALUE"""),1.0)</f>
        <v>1</v>
      </c>
      <c r="E84" s="10">
        <f>IFERROR(__xludf.DUMMYFUNCTION("""COMPUTED_VALUE"""),1.0)</f>
        <v>1</v>
      </c>
      <c r="F84" s="10" t="str">
        <f>IFERROR(__xludf.DUMMYFUNCTION("""COMPUTED_VALUE"""),"")</f>
        <v/>
      </c>
      <c r="G84" s="10" t="str">
        <f>IFERROR(__xludf.DUMMYFUNCTION("""COMPUTED_VALUE"""),"Non")</f>
        <v>Non</v>
      </c>
      <c r="H84" s="10" t="str">
        <f>IFERROR(__xludf.DUMMYFUNCTION("""COMPUTED_VALUE"""),"Rapide")</f>
        <v>Rapide</v>
      </c>
      <c r="I84" s="10" t="str">
        <f>IFERROR(__xludf.DUMMYFUNCTION("""COMPUTED_VALUE"""),"Oui")</f>
        <v>Oui</v>
      </c>
      <c r="J84" s="10" t="str">
        <f>IFERROR(__xludf.DUMMYFUNCTION("""COMPUTED_VALUE"""),"-")</f>
        <v>-</v>
      </c>
      <c r="K84" s="10" t="str">
        <f>IFERROR(__xludf.DUMMYFUNCTION("""COMPUTED_VALUE"""),"Fuyard")</f>
        <v>Fuyard</v>
      </c>
      <c r="L84" s="10" t="str">
        <f>IFERROR(__xludf.DUMMYFUNCTION("""COMPUTED_VALUE"""),"30 ±25")</f>
        <v>30 ±25</v>
      </c>
      <c r="M84" s="10" t="str">
        <f>IFERROR(__xludf.DUMMYFUNCTION("""COMPUTED_VALUE"""),"3 ±3")</f>
        <v>3 ±3</v>
      </c>
      <c r="N84" s="10" t="str">
        <f>IFERROR(__xludf.DUMMYFUNCTION("""COMPUTED_VALUE"""),"3 ±3")</f>
        <v>3 ±3</v>
      </c>
      <c r="O84" s="10" t="str">
        <f>IFERROR(__xludf.DUMMYFUNCTION("""COMPUTED_VALUE"""),"1 ±3")</f>
        <v>1 ±3</v>
      </c>
      <c r="P84" s="10" t="str">
        <f>IFERROR(__xludf.DUMMYFUNCTION("""COMPUTED_VALUE"""),"4 ±3")</f>
        <v>4 ±3</v>
      </c>
      <c r="Q84" s="10" t="str">
        <f>IFERROR(__xludf.DUMMYFUNCTION("""COMPUTED_VALUE"""),"1 ±1")</f>
        <v>1 ±1</v>
      </c>
      <c r="R84" s="10" t="str">
        <f>IFERROR(__xludf.DUMMYFUNCTION("""COMPUTED_VALUE"""),"1 ±2")</f>
        <v>1 ±2</v>
      </c>
      <c r="S84" s="10" t="str">
        <f>IFERROR(__xludf.DUMMYFUNCTION("""COMPUTED_VALUE"""),"")</f>
        <v/>
      </c>
      <c r="T84" s="10" t="str">
        <f>IFERROR(__xludf.DUMMYFUNCTION("""COMPUTED_VALUE"""),"")</f>
        <v/>
      </c>
      <c r="U84" s="10" t="str">
        <f>IFERROR(__xludf.DUMMYFUNCTION("""COMPUTED_VALUE"""),"")</f>
        <v/>
      </c>
      <c r="V84" s="10" t="str">
        <f>IFERROR(__xludf.DUMMYFUNCTION("""COMPUTED_VALUE"""),"")</f>
        <v/>
      </c>
      <c r="W84" s="10">
        <f>IFERROR(__xludf.DUMMYFUNCTION("""COMPUTED_VALUE"""),17.0)</f>
        <v>17</v>
      </c>
      <c r="X84" s="10" t="str">
        <f>IFERROR(__xludf.DUMMYFUNCTION("""COMPUTED_VALUE"""),"")</f>
        <v/>
      </c>
      <c r="Y84" s="10"/>
      <c r="Z84" s="10"/>
      <c r="AA84" s="10"/>
      <c r="AB84" s="10"/>
      <c r="AC84" s="10"/>
      <c r="AD84" s="10"/>
      <c r="AE84" s="10"/>
      <c r="AF84" s="10"/>
      <c r="AG84" s="10"/>
      <c r="AH84" s="10"/>
    </row>
    <row r="85">
      <c r="A85" s="10">
        <f>IFERROR(__xludf.DUMMYFUNCTION("""COMPUTED_VALUE"""),1.0)</f>
        <v>1</v>
      </c>
      <c r="B85" s="10" t="str">
        <f>IFERROR(__xludf.DUMMYFUNCTION("""COMPUTED_VALUE"""),"Goblin")</f>
        <v>Goblin</v>
      </c>
      <c r="C85" s="10" t="str">
        <f>IFERROR(__xludf.DUMMYFUNCTION("""COMPUTED_VALUE"""),"Humanoïde")</f>
        <v>Humanoïde</v>
      </c>
      <c r="D85" s="10">
        <f>IFERROR(__xludf.DUMMYFUNCTION("""COMPUTED_VALUE"""),4.0)</f>
        <v>4</v>
      </c>
      <c r="E85" s="10">
        <f>IFERROR(__xludf.DUMMYFUNCTION("""COMPUTED_VALUE"""),1.0)</f>
        <v>1</v>
      </c>
      <c r="F85" s="10" t="str">
        <f>IFERROR(__xludf.DUMMYFUNCTION("""COMPUTED_VALUE"""),"Non")</f>
        <v>Non</v>
      </c>
      <c r="G85" s="10" t="str">
        <f>IFERROR(__xludf.DUMMYFUNCTION("""COMPUTED_VALUE"""),"Non")</f>
        <v>Non</v>
      </c>
      <c r="H85" s="10" t="str">
        <f>IFERROR(__xludf.DUMMYFUNCTION("""COMPUTED_VALUE"""),"Normale")</f>
        <v>Normale</v>
      </c>
      <c r="I85" s="10" t="str">
        <f>IFERROR(__xludf.DUMMYFUNCTION("""COMPUTED_VALUE"""),"Non")</f>
        <v>Non</v>
      </c>
      <c r="J85" s="10" t="str">
        <f>IFERROR(__xludf.DUMMYFUNCTION("""COMPUTED_VALUE"""),"-")</f>
        <v>-</v>
      </c>
      <c r="K85" s="10" t="str">
        <f>IFERROR(__xludf.DUMMYFUNCTION("""COMPUTED_VALUE"""),"-")</f>
        <v>-</v>
      </c>
      <c r="L85" s="10" t="str">
        <f>IFERROR(__xludf.DUMMYFUNCTION("""COMPUTED_VALUE"""),"20 ±25")</f>
        <v>20 ±25</v>
      </c>
      <c r="M85" s="10" t="str">
        <f>IFERROR(__xludf.DUMMYFUNCTION("""COMPUTED_VALUE"""),"2 ±2")</f>
        <v>2 ±2</v>
      </c>
      <c r="N85" s="10" t="str">
        <f>IFERROR(__xludf.DUMMYFUNCTION("""COMPUTED_VALUE"""),"2 ±2")</f>
        <v>2 ±2</v>
      </c>
      <c r="O85" s="10" t="str">
        <f>IFERROR(__xludf.DUMMYFUNCTION("""COMPUTED_VALUE"""),"2 ±2")</f>
        <v>2 ±2</v>
      </c>
      <c r="P85" s="10" t="str">
        <f>IFERROR(__xludf.DUMMYFUNCTION("""COMPUTED_VALUE"""),"2 ±2")</f>
        <v>2 ±2</v>
      </c>
      <c r="Q85" s="10" t="str">
        <f>IFERROR(__xludf.DUMMYFUNCTION("""COMPUTED_VALUE"""),"1 ±1")</f>
        <v>1 ±1</v>
      </c>
      <c r="R85" s="10" t="str">
        <f>IFERROR(__xludf.DUMMYFUNCTION("""COMPUTED_VALUE"""),"2 ±2")</f>
        <v>2 ±2</v>
      </c>
      <c r="S85" s="10" t="str">
        <f>IFERROR(__xludf.DUMMYFUNCTION("""COMPUTED_VALUE"""),"")</f>
        <v/>
      </c>
      <c r="T85" s="10" t="str">
        <f>IFERROR(__xludf.DUMMYFUNCTION("""COMPUTED_VALUE"""),"100 ±100")</f>
        <v>100 ±100</v>
      </c>
      <c r="U85" s="10" t="str">
        <f>IFERROR(__xludf.DUMMYFUNCTION("""COMPUTED_VALUE"""),"100 ±100")</f>
        <v>100 ±100</v>
      </c>
      <c r="V85" s="10" t="str">
        <f>IFERROR(__xludf.DUMMYFUNCTION("""COMPUTED_VALUE"""),"10 ±4")</f>
        <v>10 ±4</v>
      </c>
      <c r="W85" s="10">
        <f>IFERROR(__xludf.DUMMYFUNCTION("""COMPUTED_VALUE"""),53.0)</f>
        <v>53</v>
      </c>
      <c r="X85" s="10" t="str">
        <f>IFERROR(__xludf.DUMMYFUNCTION("""COMPUTED_VALUE"""),"")</f>
        <v/>
      </c>
      <c r="Y85" s="10"/>
      <c r="Z85" s="10"/>
      <c r="AA85" s="10"/>
      <c r="AB85" s="10"/>
      <c r="AC85" s="10"/>
      <c r="AD85" s="10"/>
      <c r="AE85" s="10"/>
      <c r="AF85" s="10"/>
      <c r="AG85" s="10"/>
      <c r="AH85" s="10"/>
    </row>
    <row r="86">
      <c r="A86" s="10">
        <f>IFERROR(__xludf.DUMMYFUNCTION("""COMPUTED_VALUE"""),79.0)</f>
        <v>79</v>
      </c>
      <c r="B86" s="10" t="str">
        <f>IFERROR(__xludf.DUMMYFUNCTION("""COMPUTED_VALUE"""),"Goblours")</f>
        <v>Goblours</v>
      </c>
      <c r="C86" s="10" t="str">
        <f>IFERROR(__xludf.DUMMYFUNCTION("""COMPUTED_VALUE"""),"Humanoïde")</f>
        <v>Humanoïde</v>
      </c>
      <c r="D86" s="10">
        <f>IFERROR(__xludf.DUMMYFUNCTION("""COMPUTED_VALUE"""),4.0)</f>
        <v>4</v>
      </c>
      <c r="E86" s="10">
        <f>IFERROR(__xludf.DUMMYFUNCTION("""COMPUTED_VALUE"""),1.0)</f>
        <v>1</v>
      </c>
      <c r="F86" s="10" t="str">
        <f>IFERROR(__xludf.DUMMYFUNCTION("""COMPUTED_VALUE"""),"")</f>
        <v/>
      </c>
      <c r="G86" s="10" t="str">
        <f>IFERROR(__xludf.DUMMYFUNCTION("""COMPUTED_VALUE"""),"Non")</f>
        <v>Non</v>
      </c>
      <c r="H86" s="10" t="str">
        <f>IFERROR(__xludf.DUMMYFUNCTION("""COMPUTED_VALUE"""),"Normale")</f>
        <v>Normale</v>
      </c>
      <c r="I86" s="10" t="str">
        <f>IFERROR(__xludf.DUMMYFUNCTION("""COMPUTED_VALUE"""),"Non")</f>
        <v>Non</v>
      </c>
      <c r="J86" s="10" t="str">
        <f>IFERROR(__xludf.DUMMYFUNCTION("""COMPUTED_VALUE"""),"-")</f>
        <v>-</v>
      </c>
      <c r="K86" s="10" t="str">
        <f>IFERROR(__xludf.DUMMYFUNCTION("""COMPUTED_VALUE"""),"-")</f>
        <v>-</v>
      </c>
      <c r="L86" s="10" t="str">
        <f>IFERROR(__xludf.DUMMYFUNCTION("""COMPUTED_VALUE"""),"65 ±30")</f>
        <v>65 ±30</v>
      </c>
      <c r="M86" s="10" t="str">
        <f>IFERROR(__xludf.DUMMYFUNCTION("""COMPUTED_VALUE"""),"3 ±2")</f>
        <v>3 ±2</v>
      </c>
      <c r="N86" s="10" t="str">
        <f>IFERROR(__xludf.DUMMYFUNCTION("""COMPUTED_VALUE"""),"4 ±3")</f>
        <v>4 ±3</v>
      </c>
      <c r="O86" s="10" t="str">
        <f>IFERROR(__xludf.DUMMYFUNCTION("""COMPUTED_VALUE"""),"6 ±3")</f>
        <v>6 ±3</v>
      </c>
      <c r="P86" s="10" t="str">
        <f>IFERROR(__xludf.DUMMYFUNCTION("""COMPUTED_VALUE"""),"3 ±2")</f>
        <v>3 ±2</v>
      </c>
      <c r="Q86" s="10" t="str">
        <f>IFERROR(__xludf.DUMMYFUNCTION("""COMPUTED_VALUE"""),"1 ±1")</f>
        <v>1 ±1</v>
      </c>
      <c r="R86" s="10" t="str">
        <f>IFERROR(__xludf.DUMMYFUNCTION("""COMPUTED_VALUE"""),"2 ±2")</f>
        <v>2 ±2</v>
      </c>
      <c r="S86" s="10" t="str">
        <f>IFERROR(__xludf.DUMMYFUNCTION("""COMPUTED_VALUE"""),"")</f>
        <v/>
      </c>
      <c r="T86" s="10" t="str">
        <f>IFERROR(__xludf.DUMMYFUNCTION("""COMPUTED_VALUE"""),"100 ±100")</f>
        <v>100 ±100</v>
      </c>
      <c r="U86" s="10" t="str">
        <f>IFERROR(__xludf.DUMMYFUNCTION("""COMPUTED_VALUE"""),"100 ±100")</f>
        <v>100 ±100</v>
      </c>
      <c r="V86" s="10" t="str">
        <f>IFERROR(__xludf.DUMMYFUNCTION("""COMPUTED_VALUE"""),"13 ±4")</f>
        <v>13 ±4</v>
      </c>
      <c r="W86" s="10">
        <f>IFERROR(__xludf.DUMMYFUNCTION("""COMPUTED_VALUE"""),15.0)</f>
        <v>15</v>
      </c>
      <c r="X86" s="10" t="str">
        <f>IFERROR(__xludf.DUMMYFUNCTION("""COMPUTED_VALUE"""),"")</f>
        <v/>
      </c>
      <c r="Y86" s="10"/>
      <c r="Z86" s="10"/>
      <c r="AA86" s="10"/>
      <c r="AB86" s="10"/>
      <c r="AC86" s="10"/>
      <c r="AD86" s="10"/>
      <c r="AE86" s="10"/>
      <c r="AF86" s="10"/>
      <c r="AG86" s="10"/>
      <c r="AH86" s="10"/>
    </row>
    <row r="87">
      <c r="A87" s="10">
        <f>IFERROR(__xludf.DUMMYFUNCTION("""COMPUTED_VALUE"""),98.0)</f>
        <v>98</v>
      </c>
      <c r="B87" s="10" t="str">
        <f>IFERROR(__xludf.DUMMYFUNCTION("""COMPUTED_VALUE"""),"Golem d'Argile")</f>
        <v>Golem d'Argile</v>
      </c>
      <c r="C87" s="10" t="str">
        <f>IFERROR(__xludf.DUMMYFUNCTION("""COMPUTED_VALUE"""),"Humanoïde")</f>
        <v>Humanoïde</v>
      </c>
      <c r="D87" s="10">
        <f>IFERROR(__xludf.DUMMYFUNCTION("""COMPUTED_VALUE"""),15.0)</f>
        <v>15</v>
      </c>
      <c r="E87" s="10">
        <f>IFERROR(__xludf.DUMMYFUNCTION("""COMPUTED_VALUE"""),1.0)</f>
        <v>1</v>
      </c>
      <c r="F87" s="10" t="str">
        <f>IFERROR(__xludf.DUMMYFUNCTION("""COMPUTED_VALUE"""),"Non")</f>
        <v>Non</v>
      </c>
      <c r="G87" s="10" t="str">
        <f>IFERROR(__xludf.DUMMYFUNCTION("""COMPUTED_VALUE"""),"Non")</f>
        <v>Non</v>
      </c>
      <c r="H87" s="10" t="str">
        <f>IFERROR(__xludf.DUMMYFUNCTION("""COMPUTED_VALUE"""),"Normale")</f>
        <v>Normale</v>
      </c>
      <c r="I87" s="10" t="str">
        <f>IFERROR(__xludf.DUMMYFUNCTION("""COMPUTED_VALUE"""),"Non")</f>
        <v>Non</v>
      </c>
      <c r="J87" s="10" t="str">
        <f>IFERROR(__xludf.DUMMYFUNCTION("""COMPUTED_VALUE"""),"-")</f>
        <v>-</v>
      </c>
      <c r="K87" s="10" t="str">
        <f>IFERROR(__xludf.DUMMYFUNCTION("""COMPUTED_VALUE"""),"-")</f>
        <v>-</v>
      </c>
      <c r="L87" s="10" t="str">
        <f>IFERROR(__xludf.DUMMYFUNCTION("""COMPUTED_VALUE"""),"130 ±35")</f>
        <v>130 ±35</v>
      </c>
      <c r="M87" s="10" t="str">
        <f>IFERROR(__xludf.DUMMYFUNCTION("""COMPUTED_VALUE"""),"13 ±4")</f>
        <v>13 ±4</v>
      </c>
      <c r="N87" s="10" t="str">
        <f>IFERROR(__xludf.DUMMYFUNCTION("""COMPUTED_VALUE"""),"4 ±2")</f>
        <v>4 ±2</v>
      </c>
      <c r="O87" s="10" t="str">
        <f>IFERROR(__xludf.DUMMYFUNCTION("""COMPUTED_VALUE"""),"6 ±3")</f>
        <v>6 ±3</v>
      </c>
      <c r="P87" s="10" t="str">
        <f>IFERROR(__xludf.DUMMYFUNCTION("""COMPUTED_VALUE"""),"3 ±2")</f>
        <v>3 ±2</v>
      </c>
      <c r="Q87" s="10" t="str">
        <f>IFERROR(__xludf.DUMMYFUNCTION("""COMPUTED_VALUE"""),"2 ±1")</f>
        <v>2 ±1</v>
      </c>
      <c r="R87" s="10" t="str">
        <f>IFERROR(__xludf.DUMMYFUNCTION("""COMPUTED_VALUE"""),"19 ±3")</f>
        <v>19 ±3</v>
      </c>
      <c r="S87" s="10" t="str">
        <f>IFERROR(__xludf.DUMMYFUNCTION("""COMPUTED_VALUE"""),"")</f>
        <v/>
      </c>
      <c r="T87" s="10" t="str">
        <f>IFERROR(__xludf.DUMMYFUNCTION("""COMPUTED_VALUE"""),"100 ±100")</f>
        <v>100 ±100</v>
      </c>
      <c r="U87" s="10" t="str">
        <f>IFERROR(__xludf.DUMMYFUNCTION("""COMPUTED_VALUE"""),"2000 ±500")</f>
        <v>2000 ±500</v>
      </c>
      <c r="V87" s="10" t="str">
        <f>IFERROR(__xludf.DUMMYFUNCTION("""COMPUTED_VALUE"""),"13 ±4")</f>
        <v>13 ±4</v>
      </c>
      <c r="W87" s="10">
        <f>IFERROR(__xludf.DUMMYFUNCTION("""COMPUTED_VALUE"""),62.0)</f>
        <v>62</v>
      </c>
      <c r="X87" s="10" t="str">
        <f>IFERROR(__xludf.DUMMYFUNCTION("""COMPUTED_VALUE"""),"")</f>
        <v/>
      </c>
      <c r="Y87" s="10"/>
      <c r="Z87" s="10"/>
      <c r="AA87" s="10"/>
      <c r="AB87" s="10"/>
      <c r="AC87" s="10"/>
      <c r="AD87" s="10"/>
      <c r="AE87" s="10"/>
      <c r="AF87" s="10"/>
      <c r="AG87" s="10"/>
      <c r="AH87" s="10"/>
    </row>
    <row r="88">
      <c r="A88" s="10">
        <f>IFERROR(__xludf.DUMMYFUNCTION("""COMPUTED_VALUE"""),97.0)</f>
        <v>97</v>
      </c>
      <c r="B88" s="10" t="str">
        <f>IFERROR(__xludf.DUMMYFUNCTION("""COMPUTED_VALUE"""),"Golem de Chair")</f>
        <v>Golem de Chair</v>
      </c>
      <c r="C88" s="10" t="str">
        <f>IFERROR(__xludf.DUMMYFUNCTION("""COMPUTED_VALUE"""),"Humanoïde")</f>
        <v>Humanoïde</v>
      </c>
      <c r="D88" s="10">
        <f>IFERROR(__xludf.DUMMYFUNCTION("""COMPUTED_VALUE"""),8.0)</f>
        <v>8</v>
      </c>
      <c r="E88" s="10">
        <f>IFERROR(__xludf.DUMMYFUNCTION("""COMPUTED_VALUE"""),1.0)</f>
        <v>1</v>
      </c>
      <c r="F88" s="10" t="str">
        <f>IFERROR(__xludf.DUMMYFUNCTION("""COMPUTED_VALUE"""),"")</f>
        <v/>
      </c>
      <c r="G88" s="10" t="str">
        <f>IFERROR(__xludf.DUMMYFUNCTION("""COMPUTED_VALUE"""),"Non")</f>
        <v>Non</v>
      </c>
      <c r="H88" s="10" t="str">
        <f>IFERROR(__xludf.DUMMYFUNCTION("""COMPUTED_VALUE"""),"Normale")</f>
        <v>Normale</v>
      </c>
      <c r="I88" s="10" t="str">
        <f>IFERROR(__xludf.DUMMYFUNCTION("""COMPUTED_VALUE"""),"Non")</f>
        <v>Non</v>
      </c>
      <c r="J88" s="10" t="str">
        <f>IFERROR(__xludf.DUMMYFUNCTION("""COMPUTED_VALUE"""),"-")</f>
        <v>-</v>
      </c>
      <c r="K88" s="10" t="str">
        <f>IFERROR(__xludf.DUMMYFUNCTION("""COMPUTED_VALUE"""),"-")</f>
        <v>-</v>
      </c>
      <c r="L88" s="10" t="str">
        <f>IFERROR(__xludf.DUMMYFUNCTION("""COMPUTED_VALUE"""),"90 ±30")</f>
        <v>90 ±30</v>
      </c>
      <c r="M88" s="10" t="str">
        <f>IFERROR(__xludf.DUMMYFUNCTION("""COMPUTED_VALUE"""),"9 ±4")</f>
        <v>9 ±4</v>
      </c>
      <c r="N88" s="10" t="str">
        <f>IFERROR(__xludf.DUMMYFUNCTION("""COMPUTED_VALUE"""),"3 ±2")</f>
        <v>3 ±2</v>
      </c>
      <c r="O88" s="10" t="str">
        <f>IFERROR(__xludf.DUMMYFUNCTION("""COMPUTED_VALUE"""),"4 ±3")</f>
        <v>4 ±3</v>
      </c>
      <c r="P88" s="10" t="str">
        <f>IFERROR(__xludf.DUMMYFUNCTION("""COMPUTED_VALUE"""),"3 ±2")</f>
        <v>3 ±2</v>
      </c>
      <c r="Q88" s="10" t="str">
        <f>IFERROR(__xludf.DUMMYFUNCTION("""COMPUTED_VALUE"""),"1 ±1")</f>
        <v>1 ±1</v>
      </c>
      <c r="R88" s="10" t="str">
        <f>IFERROR(__xludf.DUMMYFUNCTION("""COMPUTED_VALUE"""),"16 ±4")</f>
        <v>16 ±4</v>
      </c>
      <c r="S88" s="10" t="str">
        <f>IFERROR(__xludf.DUMMYFUNCTION("""COMPUTED_VALUE"""),"")</f>
        <v/>
      </c>
      <c r="T88" s="10" t="str">
        <f>IFERROR(__xludf.DUMMYFUNCTION("""COMPUTED_VALUE"""),"100 ±100")</f>
        <v>100 ±100</v>
      </c>
      <c r="U88" s="10" t="str">
        <f>IFERROR(__xludf.DUMMYFUNCTION("""COMPUTED_VALUE"""),"1500 ±600")</f>
        <v>1500 ±600</v>
      </c>
      <c r="V88" s="10" t="str">
        <f>IFERROR(__xludf.DUMMYFUNCTION("""COMPUTED_VALUE"""),"12 ±2")</f>
        <v>12 ±2</v>
      </c>
      <c r="W88" s="10">
        <f>IFERROR(__xludf.DUMMYFUNCTION("""COMPUTED_VALUE"""),38.0)</f>
        <v>38</v>
      </c>
      <c r="X88" s="10" t="str">
        <f>IFERROR(__xludf.DUMMYFUNCTION("""COMPUTED_VALUE"""),"")</f>
        <v/>
      </c>
      <c r="Y88" s="10"/>
      <c r="Z88" s="10"/>
      <c r="AA88" s="10"/>
      <c r="AB88" s="10"/>
      <c r="AC88" s="10"/>
      <c r="AD88" s="10"/>
      <c r="AE88" s="10"/>
      <c r="AF88" s="10"/>
      <c r="AG88" s="10"/>
      <c r="AH88" s="10"/>
    </row>
    <row r="89">
      <c r="A89" s="10">
        <f>IFERROR(__xludf.DUMMYFUNCTION("""COMPUTED_VALUE"""),100.0)</f>
        <v>100</v>
      </c>
      <c r="B89" s="10" t="str">
        <f>IFERROR(__xludf.DUMMYFUNCTION("""COMPUTED_VALUE"""),"Golem de Fer")</f>
        <v>Golem de Fer</v>
      </c>
      <c r="C89" s="10" t="str">
        <f>IFERROR(__xludf.DUMMYFUNCTION("""COMPUTED_VALUE"""),"Humanoïde")</f>
        <v>Humanoïde</v>
      </c>
      <c r="D89" s="10">
        <f>IFERROR(__xludf.DUMMYFUNCTION("""COMPUTED_VALUE"""),31.0)</f>
        <v>31</v>
      </c>
      <c r="E89" s="10">
        <f>IFERROR(__xludf.DUMMYFUNCTION("""COMPUTED_VALUE"""),1.0)</f>
        <v>1</v>
      </c>
      <c r="F89" s="10" t="str">
        <f>IFERROR(__xludf.DUMMYFUNCTION("""COMPUTED_VALUE"""),"Non")</f>
        <v>Non</v>
      </c>
      <c r="G89" s="10" t="str">
        <f>IFERROR(__xludf.DUMMYFUNCTION("""COMPUTED_VALUE"""),"Non")</f>
        <v>Non</v>
      </c>
      <c r="H89" s="10" t="str">
        <f>IFERROR(__xludf.DUMMYFUNCTION("""COMPUTED_VALUE"""),"Normale")</f>
        <v>Normale</v>
      </c>
      <c r="I89" s="10" t="str">
        <f>IFERROR(__xludf.DUMMYFUNCTION("""COMPUTED_VALUE"""),"Non")</f>
        <v>Non</v>
      </c>
      <c r="J89" s="10" t="str">
        <f>IFERROR(__xludf.DUMMYFUNCTION("""COMPUTED_VALUE"""),"-")</f>
        <v>-</v>
      </c>
      <c r="K89" s="10" t="str">
        <f>IFERROR(__xludf.DUMMYFUNCTION("""COMPUTED_VALUE"""),"-")</f>
        <v>-</v>
      </c>
      <c r="L89" s="10" t="str">
        <f>IFERROR(__xludf.DUMMYFUNCTION("""COMPUTED_VALUE"""),"190 ±45")</f>
        <v>190 ±45</v>
      </c>
      <c r="M89" s="10" t="str">
        <f>IFERROR(__xludf.DUMMYFUNCTION("""COMPUTED_VALUE"""),"21 ±4")</f>
        <v>21 ±4</v>
      </c>
      <c r="N89" s="10" t="str">
        <f>IFERROR(__xludf.DUMMYFUNCTION("""COMPUTED_VALUE"""),"6 ±3")</f>
        <v>6 ±3</v>
      </c>
      <c r="O89" s="10" t="str">
        <f>IFERROR(__xludf.DUMMYFUNCTION("""COMPUTED_VALUE"""),"10 ±3")</f>
        <v>10 ±3</v>
      </c>
      <c r="P89" s="10" t="str">
        <f>IFERROR(__xludf.DUMMYFUNCTION("""COMPUTED_VALUE"""),"5 ±3")</f>
        <v>5 ±3</v>
      </c>
      <c r="Q89" s="10" t="str">
        <f>IFERROR(__xludf.DUMMYFUNCTION("""COMPUTED_VALUE"""),"3 ±1")</f>
        <v>3 ±1</v>
      </c>
      <c r="R89" s="10" t="str">
        <f>IFERROR(__xludf.DUMMYFUNCTION("""COMPUTED_VALUE"""),"40 ±5")</f>
        <v>40 ±5</v>
      </c>
      <c r="S89" s="10" t="str">
        <f>IFERROR(__xludf.DUMMYFUNCTION("""COMPUTED_VALUE"""),"")</f>
        <v/>
      </c>
      <c r="T89" s="10" t="str">
        <f>IFERROR(__xludf.DUMMYFUNCTION("""COMPUTED_VALUE"""),"0 ±200")</f>
        <v>0 ±200</v>
      </c>
      <c r="U89" s="10" t="str">
        <f>IFERROR(__xludf.DUMMYFUNCTION("""COMPUTED_VALUE"""),"3600 ±600")</f>
        <v>3600 ±600</v>
      </c>
      <c r="V89" s="10" t="str">
        <f>IFERROR(__xludf.DUMMYFUNCTION("""COMPUTED_VALUE"""),"14 ±3")</f>
        <v>14 ±3</v>
      </c>
      <c r="W89" s="10">
        <f>IFERROR(__xludf.DUMMYFUNCTION("""COMPUTED_VALUE"""),32.0)</f>
        <v>32</v>
      </c>
      <c r="X89" s="10" t="str">
        <f>IFERROR(__xludf.DUMMYFUNCTION("""COMPUTED_VALUE"""),"")</f>
        <v/>
      </c>
      <c r="Y89" s="10"/>
      <c r="Z89" s="10"/>
      <c r="AA89" s="10"/>
      <c r="AB89" s="10"/>
      <c r="AC89" s="10"/>
      <c r="AD89" s="10"/>
      <c r="AE89" s="10"/>
      <c r="AF89" s="10"/>
      <c r="AG89" s="10"/>
      <c r="AH89" s="10"/>
    </row>
    <row r="90">
      <c r="A90" s="10" t="str">
        <f>IFERROR(__xludf.DUMMYFUNCTION("""COMPUTED_VALUE"""),"*Id*")</f>
        <v>*Id*</v>
      </c>
      <c r="B90" s="10" t="str">
        <f>IFERROR(__xludf.DUMMYFUNCTION("""COMPUTED_VALUE"""),"*Nom*")</f>
        <v>*Nom*</v>
      </c>
      <c r="C90" s="10" t="str">
        <f>IFERROR(__xludf.DUMMYFUNCTION("""COMPUTED_VALUE"""),"*Famille*")</f>
        <v>*Famille*</v>
      </c>
      <c r="D90" s="10" t="str">
        <f>IFERROR(__xludf.DUMMYFUNCTION("""COMPUTED_VALUE"""),"*Niv*")</f>
        <v>*Niv*</v>
      </c>
      <c r="E90" s="10" t="str">
        <f>IFERROR(__xludf.DUMMYFUNCTION("""COMPUTED_VALUE"""),"*Nb att*")</f>
        <v>*Nb att*</v>
      </c>
      <c r="F90" s="10" t="str">
        <f>IFERROR(__xludf.DUMMYFUNCTION("""COMPUTED_VALUE"""),"*Att mag*")</f>
        <v>*Att mag*</v>
      </c>
      <c r="G90" s="10" t="str">
        <f>IFERROR(__xludf.DUMMYFUNCTION("""COMPUTED_VALUE"""),"*Att dist*")</f>
        <v>*Att dist*</v>
      </c>
      <c r="H90" s="10" t="str">
        <f>IFERROR(__xludf.DUMMYFUNCTION("""COMPUTED_VALUE"""),"*Vit*")</f>
        <v>*Vit*</v>
      </c>
      <c r="I90" s="10" t="str">
        <f>IFERROR(__xludf.DUMMYFUNCTION("""COMPUTED_VALUE"""),"*VlC*")</f>
        <v>*VlC*</v>
      </c>
      <c r="J90" s="10" t="str">
        <f>IFERROR(__xludf.DUMMYFUNCTION("""COMPUTED_VALUE"""),"*Pouvoir 1*")</f>
        <v>*Pouvoir 1*</v>
      </c>
      <c r="K90" s="10" t="str">
        <f>IFERROR(__xludf.DUMMYFUNCTION("""COMPUTED_VALUE"""),"*Pouvoir 2*")</f>
        <v>*Pouvoir 2*</v>
      </c>
      <c r="L90" s="10" t="str">
        <f>IFERROR(__xludf.DUMMYFUNCTION("""COMPUTED_VALUE"""),"*PV*")</f>
        <v>*PV*</v>
      </c>
      <c r="M90" s="10" t="str">
        <f>IFERROR(__xludf.DUMMYFUNCTION("""COMPUTED_VALUE"""),"*Att*")</f>
        <v>*Att*</v>
      </c>
      <c r="N90" s="10" t="str">
        <f>IFERROR(__xludf.DUMMYFUNCTION("""COMPUTED_VALUE"""),"*Esq*")</f>
        <v>*Esq*</v>
      </c>
      <c r="O90" s="10" t="str">
        <f>IFERROR(__xludf.DUMMYFUNCTION("""COMPUTED_VALUE"""),"*Dégât*")</f>
        <v>*Dégât*</v>
      </c>
      <c r="P90" s="10" t="str">
        <f>IFERROR(__xludf.DUMMYFUNCTION("""COMPUTED_VALUE"""),"*Vue*")</f>
        <v>*Vue*</v>
      </c>
      <c r="Q90" s="10" t="str">
        <f>IFERROR(__xludf.DUMMYFUNCTION("""COMPUTED_VALUE"""),"*Régen*")</f>
        <v>*Régen*</v>
      </c>
      <c r="R90" s="10" t="str">
        <f>IFERROR(__xludf.DUMMYFUNCTION("""COMPUTED_VALUE"""),"*Arm phy*")</f>
        <v>*Arm phy*</v>
      </c>
      <c r="S90" s="10" t="str">
        <f>IFERROR(__xludf.DUMMYFUNCTION("""COMPUTED_VALUE"""),"*Arm mag*")</f>
        <v>*Arm mag*</v>
      </c>
      <c r="T90" s="10" t="str">
        <f>IFERROR(__xludf.DUMMYFUNCTION("""COMPUTED_VALUE"""),"*MM*")</f>
        <v>*MM*</v>
      </c>
      <c r="U90" s="10" t="str">
        <f>IFERROR(__xludf.DUMMYFUNCTION("""COMPUTED_VALUE"""),"*RM*")</f>
        <v>*RM*</v>
      </c>
      <c r="V90" s="10" t="str">
        <f>IFERROR(__xludf.DUMMYFUNCTION("""COMPUTED_VALUE"""),"*DLA*")</f>
        <v>*DLA*</v>
      </c>
      <c r="W90" s="10" t="str">
        <f>IFERROR(__xludf.DUMMYFUNCTION("""COMPUTED_VALUE"""),"*Echant*")</f>
        <v>*Echant*</v>
      </c>
      <c r="X90" s="10" t="str">
        <f>IFERROR(__xludf.DUMMYFUNCTION("""COMPUTED_VALUE"""),"*Vole*")</f>
        <v>*Vole*</v>
      </c>
      <c r="Y90" s="10"/>
      <c r="Z90" s="10"/>
      <c r="AA90" s="10"/>
      <c r="AB90" s="10"/>
      <c r="AC90" s="10"/>
      <c r="AD90" s="10"/>
      <c r="AE90" s="10"/>
      <c r="AF90" s="10"/>
      <c r="AG90" s="10"/>
      <c r="AH90" s="10"/>
    </row>
    <row r="91">
      <c r="A91" s="10">
        <f>IFERROR(__xludf.DUMMYFUNCTION("""COMPUTED_VALUE"""),99.0)</f>
        <v>99</v>
      </c>
      <c r="B91" s="10" t="str">
        <f>IFERROR(__xludf.DUMMYFUNCTION("""COMPUTED_VALUE"""),"Golem de Pierre")</f>
        <v>Golem de Pierre</v>
      </c>
      <c r="C91" s="10" t="str">
        <f>IFERROR(__xludf.DUMMYFUNCTION("""COMPUTED_VALUE"""),"Humanoïde")</f>
        <v>Humanoïde</v>
      </c>
      <c r="D91" s="10">
        <f>IFERROR(__xludf.DUMMYFUNCTION("""COMPUTED_VALUE"""),23.0)</f>
        <v>23</v>
      </c>
      <c r="E91" s="10">
        <f>IFERROR(__xludf.DUMMYFUNCTION("""COMPUTED_VALUE"""),1.0)</f>
        <v>1</v>
      </c>
      <c r="F91" s="10" t="str">
        <f>IFERROR(__xludf.DUMMYFUNCTION("""COMPUTED_VALUE"""),"")</f>
        <v/>
      </c>
      <c r="G91" s="10" t="str">
        <f>IFERROR(__xludf.DUMMYFUNCTION("""COMPUTED_VALUE"""),"Non")</f>
        <v>Non</v>
      </c>
      <c r="H91" s="10" t="str">
        <f>IFERROR(__xludf.DUMMYFUNCTION("""COMPUTED_VALUE"""),"Normale")</f>
        <v>Normale</v>
      </c>
      <c r="I91" s="10" t="str">
        <f>IFERROR(__xludf.DUMMYFUNCTION("""COMPUTED_VALUE"""),"Non")</f>
        <v>Non</v>
      </c>
      <c r="J91" s="10" t="str">
        <f>IFERROR(__xludf.DUMMYFUNCTION("""COMPUTED_VALUE"""),"-")</f>
        <v>-</v>
      </c>
      <c r="K91" s="10" t="str">
        <f>IFERROR(__xludf.DUMMYFUNCTION("""COMPUTED_VALUE"""),"-")</f>
        <v>-</v>
      </c>
      <c r="L91" s="10" t="str">
        <f>IFERROR(__xludf.DUMMYFUNCTION("""COMPUTED_VALUE"""),"175 ±45")</f>
        <v>175 ±45</v>
      </c>
      <c r="M91" s="10" t="str">
        <f>IFERROR(__xludf.DUMMYFUNCTION("""COMPUTED_VALUE"""),"17 ±4")</f>
        <v>17 ±4</v>
      </c>
      <c r="N91" s="10" t="str">
        <f>IFERROR(__xludf.DUMMYFUNCTION("""COMPUTED_VALUE"""),"5 ±3")</f>
        <v>5 ±3</v>
      </c>
      <c r="O91" s="10" t="str">
        <f>IFERROR(__xludf.DUMMYFUNCTION("""COMPUTED_VALUE"""),"8 ±3")</f>
        <v>8 ±3</v>
      </c>
      <c r="P91" s="10" t="str">
        <f>IFERROR(__xludf.DUMMYFUNCTION("""COMPUTED_VALUE"""),"4 ±2")</f>
        <v>4 ±2</v>
      </c>
      <c r="Q91" s="10" t="str">
        <f>IFERROR(__xludf.DUMMYFUNCTION("""COMPUTED_VALUE"""),"2 ±1")</f>
        <v>2 ±1</v>
      </c>
      <c r="R91" s="10" t="str">
        <f>IFERROR(__xludf.DUMMYFUNCTION("""COMPUTED_VALUE"""),"30 ±4")</f>
        <v>30 ±4</v>
      </c>
      <c r="S91" s="10" t="str">
        <f>IFERROR(__xludf.DUMMYFUNCTION("""COMPUTED_VALUE"""),"")</f>
        <v/>
      </c>
      <c r="T91" s="10" t="str">
        <f>IFERROR(__xludf.DUMMYFUNCTION("""COMPUTED_VALUE"""),"100 ±200")</f>
        <v>100 ±200</v>
      </c>
      <c r="U91" s="10" t="str">
        <f>IFERROR(__xludf.DUMMYFUNCTION("""COMPUTED_VALUE"""),"2400 ±600")</f>
        <v>2400 ±600</v>
      </c>
      <c r="V91" s="10" t="str">
        <f>IFERROR(__xludf.DUMMYFUNCTION("""COMPUTED_VALUE"""),"13 ±4")</f>
        <v>13 ±4</v>
      </c>
      <c r="W91" s="10">
        <f>IFERROR(__xludf.DUMMYFUNCTION("""COMPUTED_VALUE"""),108.0)</f>
        <v>108</v>
      </c>
      <c r="X91" s="10" t="str">
        <f>IFERROR(__xludf.DUMMYFUNCTION("""COMPUTED_VALUE"""),"")</f>
        <v/>
      </c>
      <c r="Y91" s="10"/>
      <c r="Z91" s="10"/>
      <c r="AA91" s="10"/>
      <c r="AB91" s="10"/>
      <c r="AC91" s="10"/>
      <c r="AD91" s="10"/>
      <c r="AE91" s="10"/>
      <c r="AF91" s="10"/>
      <c r="AG91" s="10"/>
      <c r="AH91" s="10"/>
    </row>
    <row r="92">
      <c r="A92" s="10">
        <f>IFERROR(__xludf.DUMMYFUNCTION("""COMPUTED_VALUE"""),111.0)</f>
        <v>111</v>
      </c>
      <c r="B92" s="10" t="str">
        <f>IFERROR(__xludf.DUMMYFUNCTION("""COMPUTED_VALUE"""),"Gorgone")</f>
        <v>Gorgone</v>
      </c>
      <c r="C92" s="10" t="str">
        <f>IFERROR(__xludf.DUMMYFUNCTION("""COMPUTED_VALUE"""),"Monstre")</f>
        <v>Monstre</v>
      </c>
      <c r="D92" s="10">
        <f>IFERROR(__xludf.DUMMYFUNCTION("""COMPUTED_VALUE"""),11.0)</f>
        <v>11</v>
      </c>
      <c r="E92" s="10">
        <f>IFERROR(__xludf.DUMMYFUNCTION("""COMPUTED_VALUE"""),1.0)</f>
        <v>1</v>
      </c>
      <c r="F92" s="10" t="str">
        <f>IFERROR(__xludf.DUMMYFUNCTION("""COMPUTED_VALUE"""),"Non")</f>
        <v>Non</v>
      </c>
      <c r="G92" s="10" t="str">
        <f>IFERROR(__xludf.DUMMYFUNCTION("""COMPUTED_VALUE"""),"Non")</f>
        <v>Non</v>
      </c>
      <c r="H92" s="10" t="str">
        <f>IFERROR(__xludf.DUMMYFUNCTION("""COMPUTED_VALUE"""),"Rapide")</f>
        <v>Rapide</v>
      </c>
      <c r="I92" s="10" t="str">
        <f>IFERROR(__xludf.DUMMYFUNCTION("""COMPUTED_VALUE"""),"Non")</f>
        <v>Non</v>
      </c>
      <c r="J92" s="10" t="str">
        <f>IFERROR(__xludf.DUMMYFUNCTION("""COMPUTED_VALUE"""),"Pétrification - Auto")</f>
        <v>Pétrification - Auto</v>
      </c>
      <c r="K92" s="10" t="str">
        <f>IFERROR(__xludf.DUMMYFUNCTION("""COMPUTED_VALUE"""),"-")</f>
        <v>-</v>
      </c>
      <c r="L92" s="10" t="str">
        <f>IFERROR(__xludf.DUMMYFUNCTION("""COMPUTED_VALUE"""),"95 ±35")</f>
        <v>95 ±35</v>
      </c>
      <c r="M92" s="10" t="str">
        <f>IFERROR(__xludf.DUMMYFUNCTION("""COMPUTED_VALUE"""),"7 ±3")</f>
        <v>7 ±3</v>
      </c>
      <c r="N92" s="10" t="str">
        <f>IFERROR(__xludf.DUMMYFUNCTION("""COMPUTED_VALUE"""),"8 ±3")</f>
        <v>8 ±3</v>
      </c>
      <c r="O92" s="10" t="str">
        <f>IFERROR(__xludf.DUMMYFUNCTION("""COMPUTED_VALUE"""),"6 ±3")</f>
        <v>6 ±3</v>
      </c>
      <c r="P92" s="10" t="str">
        <f>IFERROR(__xludf.DUMMYFUNCTION("""COMPUTED_VALUE"""),"4 ±2")</f>
        <v>4 ±2</v>
      </c>
      <c r="Q92" s="10" t="str">
        <f>IFERROR(__xludf.DUMMYFUNCTION("""COMPUTED_VALUE"""),"3 ±1")</f>
        <v>3 ±1</v>
      </c>
      <c r="R92" s="10" t="str">
        <f>IFERROR(__xludf.DUMMYFUNCTION("""COMPUTED_VALUE"""),"9 ±3")</f>
        <v>9 ±3</v>
      </c>
      <c r="S92" s="10" t="str">
        <f>IFERROR(__xludf.DUMMYFUNCTION("""COMPUTED_VALUE"""),"")</f>
        <v/>
      </c>
      <c r="T92" s="10" t="str">
        <f>IFERROR(__xludf.DUMMYFUNCTION("""COMPUTED_VALUE"""),"400 ±300")</f>
        <v>400 ±300</v>
      </c>
      <c r="U92" s="10" t="str">
        <f>IFERROR(__xludf.DUMMYFUNCTION("""COMPUTED_VALUE"""),"300 ±200")</f>
        <v>300 ±200</v>
      </c>
      <c r="V92" s="10" t="str">
        <f>IFERROR(__xludf.DUMMYFUNCTION("""COMPUTED_VALUE"""),"12 ±3")</f>
        <v>12 ±3</v>
      </c>
      <c r="W92" s="10">
        <f>IFERROR(__xludf.DUMMYFUNCTION("""COMPUTED_VALUE"""),60.0)</f>
        <v>60</v>
      </c>
      <c r="X92" s="10" t="str">
        <f>IFERROR(__xludf.DUMMYFUNCTION("""COMPUTED_VALUE"""),"")</f>
        <v/>
      </c>
      <c r="Y92" s="10"/>
      <c r="Z92" s="10"/>
      <c r="AA92" s="10"/>
      <c r="AB92" s="10"/>
      <c r="AC92" s="10"/>
      <c r="AD92" s="10"/>
      <c r="AE92" s="10"/>
      <c r="AF92" s="10"/>
      <c r="AG92" s="10"/>
      <c r="AH92" s="10"/>
    </row>
    <row r="93">
      <c r="A93" s="10">
        <f>IFERROR(__xludf.DUMMYFUNCTION("""COMPUTED_VALUE"""),19.0)</f>
        <v>19</v>
      </c>
      <c r="B93" s="10" t="str">
        <f>IFERROR(__xludf.DUMMYFUNCTION("""COMPUTED_VALUE"""),"Goule")</f>
        <v>Goule</v>
      </c>
      <c r="C93" s="10" t="str">
        <f>IFERROR(__xludf.DUMMYFUNCTION("""COMPUTED_VALUE"""),"Mort-Vivant")</f>
        <v>Mort-Vivant</v>
      </c>
      <c r="D93" s="10">
        <f>IFERROR(__xludf.DUMMYFUNCTION("""COMPUTED_VALUE"""),4.0)</f>
        <v>4</v>
      </c>
      <c r="E93" s="10">
        <f>IFERROR(__xludf.DUMMYFUNCTION("""COMPUTED_VALUE"""),1.0)</f>
        <v>1</v>
      </c>
      <c r="F93" s="10" t="str">
        <f>IFERROR(__xludf.DUMMYFUNCTION("""COMPUTED_VALUE"""),"Non")</f>
        <v>Non</v>
      </c>
      <c r="G93" s="10" t="str">
        <f>IFERROR(__xludf.DUMMYFUNCTION("""COMPUTED_VALUE"""),"Non")</f>
        <v>Non</v>
      </c>
      <c r="H93" s="10" t="str">
        <f>IFERROR(__xludf.DUMMYFUNCTION("""COMPUTED_VALUE"""),"Normale")</f>
        <v>Normale</v>
      </c>
      <c r="I93" s="10" t="str">
        <f>IFERROR(__xludf.DUMMYFUNCTION("""COMPUTED_VALUE"""),"Oui")</f>
        <v>Oui</v>
      </c>
      <c r="J93" s="10" t="str">
        <f>IFERROR(__xludf.DUMMYFUNCTION("""COMPUTED_VALUE"""),"Attaque paralysante - Zone (1) environ +75min / +15min")</f>
        <v>Attaque paralysante - Zone (1) environ +75min / +15min</v>
      </c>
      <c r="K93" s="10" t="str">
        <f>IFERROR(__xludf.DUMMYFUNCTION("""COMPUTED_VALUE"""),"-")</f>
        <v>-</v>
      </c>
      <c r="L93" s="10" t="str">
        <f>IFERROR(__xludf.DUMMYFUNCTION("""COMPUTED_VALUE"""),"40 ±25")</f>
        <v>40 ±25</v>
      </c>
      <c r="M93" s="10" t="str">
        <f>IFERROR(__xludf.DUMMYFUNCTION("""COMPUTED_VALUE"""),"4 ±2")</f>
        <v>4 ±2</v>
      </c>
      <c r="N93" s="10" t="str">
        <f>IFERROR(__xludf.DUMMYFUNCTION("""COMPUTED_VALUE"""),"6 ±3")</f>
        <v>6 ±3</v>
      </c>
      <c r="O93" s="10" t="str">
        <f>IFERROR(__xludf.DUMMYFUNCTION("""COMPUTED_VALUE"""),"4 ±3")</f>
        <v>4 ±3</v>
      </c>
      <c r="P93" s="10" t="str">
        <f>IFERROR(__xludf.DUMMYFUNCTION("""COMPUTED_VALUE"""),"3 ±2")</f>
        <v>3 ±2</v>
      </c>
      <c r="Q93" s="10" t="str">
        <f>IFERROR(__xludf.DUMMYFUNCTION("""COMPUTED_VALUE"""),"2 ±1")</f>
        <v>2 ±1</v>
      </c>
      <c r="R93" s="10" t="str">
        <f>IFERROR(__xludf.DUMMYFUNCTION("""COMPUTED_VALUE"""),"1 ±1")</f>
        <v>1 ±1</v>
      </c>
      <c r="S93" s="10" t="str">
        <f>IFERROR(__xludf.DUMMYFUNCTION("""COMPUTED_VALUE"""),"")</f>
        <v/>
      </c>
      <c r="T93" s="10" t="str">
        <f>IFERROR(__xludf.DUMMYFUNCTION("""COMPUTED_VALUE"""),"300 ±300")</f>
        <v>300 ±300</v>
      </c>
      <c r="U93" s="10" t="str">
        <f>IFERROR(__xludf.DUMMYFUNCTION("""COMPUTED_VALUE"""),"200 ±200")</f>
        <v>200 ±200</v>
      </c>
      <c r="V93" s="10" t="str">
        <f>IFERROR(__xludf.DUMMYFUNCTION("""COMPUTED_VALUE"""),"12 ±5")</f>
        <v>12 ±5</v>
      </c>
      <c r="W93" s="10">
        <f>IFERROR(__xludf.DUMMYFUNCTION("""COMPUTED_VALUE"""),22.0)</f>
        <v>22</v>
      </c>
      <c r="X93" s="10" t="str">
        <f>IFERROR(__xludf.DUMMYFUNCTION("""COMPUTED_VALUE"""),"")</f>
        <v/>
      </c>
      <c r="Y93" s="10"/>
      <c r="Z93" s="10"/>
      <c r="AA93" s="10"/>
      <c r="AB93" s="10"/>
      <c r="AC93" s="10"/>
      <c r="AD93" s="10"/>
      <c r="AE93" s="10"/>
      <c r="AF93" s="10"/>
      <c r="AG93" s="10"/>
      <c r="AH93" s="10"/>
    </row>
    <row r="94">
      <c r="A94" s="10">
        <f>IFERROR(__xludf.DUMMYFUNCTION("""COMPUTED_VALUE"""),101.0)</f>
        <v>101</v>
      </c>
      <c r="B94" s="10" t="str">
        <f>IFERROR(__xludf.DUMMYFUNCTION("""COMPUTED_VALUE"""),"Gremlins")</f>
        <v>Gremlins</v>
      </c>
      <c r="C94" s="10" t="str">
        <f>IFERROR(__xludf.DUMMYFUNCTION("""COMPUTED_VALUE"""),"Humanoïde")</f>
        <v>Humanoïde</v>
      </c>
      <c r="D94" s="10">
        <f>IFERROR(__xludf.DUMMYFUNCTION("""COMPUTED_VALUE"""),3.0)</f>
        <v>3</v>
      </c>
      <c r="E94" s="10">
        <f>IFERROR(__xludf.DUMMYFUNCTION("""COMPUTED_VALUE"""),1.0)</f>
        <v>1</v>
      </c>
      <c r="F94" s="10" t="str">
        <f>IFERROR(__xludf.DUMMYFUNCTION("""COMPUTED_VALUE"""),"Non")</f>
        <v>Non</v>
      </c>
      <c r="G94" s="10" t="str">
        <f>IFERROR(__xludf.DUMMYFUNCTION("""COMPUTED_VALUE"""),"Non")</f>
        <v>Non</v>
      </c>
      <c r="H94" s="10" t="str">
        <f>IFERROR(__xludf.DUMMYFUNCTION("""COMPUTED_VALUE"""),"Rapide")</f>
        <v>Rapide</v>
      </c>
      <c r="I94" s="10" t="str">
        <f>IFERROR(__xludf.DUMMYFUNCTION("""COMPUTED_VALUE"""),"Non")</f>
        <v>Non</v>
      </c>
      <c r="J94" s="10" t="str">
        <f>IFERROR(__xludf.DUMMYFUNCTION("""COMPUTED_VALUE"""),"-")</f>
        <v>-</v>
      </c>
      <c r="K94" s="10" t="str">
        <f>IFERROR(__xludf.DUMMYFUNCTION("""COMPUTED_VALUE"""),"Mort : Duplication (2)")</f>
        <v>Mort : Duplication (2)</v>
      </c>
      <c r="L94" s="10" t="str">
        <f>IFERROR(__xludf.DUMMYFUNCTION("""COMPUTED_VALUE"""),"45 ±25")</f>
        <v>45 ±25</v>
      </c>
      <c r="M94" s="10" t="str">
        <f>IFERROR(__xludf.DUMMYFUNCTION("""COMPUTED_VALUE"""),"3 ±2")</f>
        <v>3 ±2</v>
      </c>
      <c r="N94" s="10" t="str">
        <f>IFERROR(__xludf.DUMMYFUNCTION("""COMPUTED_VALUE"""),"6 ±3")</f>
        <v>6 ±3</v>
      </c>
      <c r="O94" s="10" t="str">
        <f>IFERROR(__xludf.DUMMYFUNCTION("""COMPUTED_VALUE"""),"3 ±2")</f>
        <v>3 ±2</v>
      </c>
      <c r="P94" s="10" t="str">
        <f>IFERROR(__xludf.DUMMYFUNCTION("""COMPUTED_VALUE"""),"4 ±3")</f>
        <v>4 ±3</v>
      </c>
      <c r="Q94" s="10" t="str">
        <f>IFERROR(__xludf.DUMMYFUNCTION("""COMPUTED_VALUE"""),"1 ±1")</f>
        <v>1 ±1</v>
      </c>
      <c r="R94" s="10" t="str">
        <f>IFERROR(__xludf.DUMMYFUNCTION("""COMPUTED_VALUE"""),"1 ±2")</f>
        <v>1 ±2</v>
      </c>
      <c r="S94" s="10" t="str">
        <f>IFERROR(__xludf.DUMMYFUNCTION("""COMPUTED_VALUE"""),"")</f>
        <v/>
      </c>
      <c r="T94" s="10" t="str">
        <f>IFERROR(__xludf.DUMMYFUNCTION("""COMPUTED_VALUE"""),"100 ±200")</f>
        <v>100 ±200</v>
      </c>
      <c r="U94" s="10" t="str">
        <f>IFERROR(__xludf.DUMMYFUNCTION("""COMPUTED_VALUE"""),"100 ±100")</f>
        <v>100 ±100</v>
      </c>
      <c r="V94" s="10" t="str">
        <f>IFERROR(__xludf.DUMMYFUNCTION("""COMPUTED_VALUE"""),"12 ±4")</f>
        <v>12 ±4</v>
      </c>
      <c r="W94" s="10">
        <f>IFERROR(__xludf.DUMMYFUNCTION("""COMPUTED_VALUE"""),38.0)</f>
        <v>38</v>
      </c>
      <c r="X94" s="10" t="str">
        <f>IFERROR(__xludf.DUMMYFUNCTION("""COMPUTED_VALUE"""),"")</f>
        <v/>
      </c>
      <c r="Y94" s="10"/>
      <c r="Z94" s="10"/>
      <c r="AA94" s="10"/>
      <c r="AB94" s="10"/>
      <c r="AC94" s="10"/>
      <c r="AD94" s="10"/>
      <c r="AE94" s="10"/>
      <c r="AF94" s="10"/>
      <c r="AG94" s="10"/>
      <c r="AH94" s="10"/>
    </row>
    <row r="95">
      <c r="A95" s="10">
        <f>IFERROR(__xludf.DUMMYFUNCTION("""COMPUTED_VALUE"""),169.0)</f>
        <v>169</v>
      </c>
      <c r="B95" s="10" t="str">
        <f>IFERROR(__xludf.DUMMYFUNCTION("""COMPUTED_VALUE"""),"Gritche")</f>
        <v>Gritche</v>
      </c>
      <c r="C95" s="10" t="str">
        <f>IFERROR(__xludf.DUMMYFUNCTION("""COMPUTED_VALUE"""),"Démon")</f>
        <v>Démon</v>
      </c>
      <c r="D95" s="10">
        <f>IFERROR(__xludf.DUMMYFUNCTION("""COMPUTED_VALUE"""),39.0)</f>
        <v>39</v>
      </c>
      <c r="E95" s="10">
        <f>IFERROR(__xludf.DUMMYFUNCTION("""COMPUTED_VALUE"""),1.0)</f>
        <v>1</v>
      </c>
      <c r="F95" s="10" t="str">
        <f>IFERROR(__xludf.DUMMYFUNCTION("""COMPUTED_VALUE"""),"Non")</f>
        <v>Non</v>
      </c>
      <c r="G95" s="10" t="str">
        <f>IFERROR(__xludf.DUMMYFUNCTION("""COMPUTED_VALUE"""),"Non")</f>
        <v>Non</v>
      </c>
      <c r="H95" s="10" t="str">
        <f>IFERROR(__xludf.DUMMYFUNCTION("""COMPUTED_VALUE"""),"Lente")</f>
        <v>Lente</v>
      </c>
      <c r="I95" s="10" t="str">
        <f>IFERROR(__xludf.DUMMYFUNCTION("""COMPUTED_VALUE"""),"Oui")</f>
        <v>Oui</v>
      </c>
      <c r="J95" s="10" t="str">
        <f>IFERROR(__xludf.DUMMYFUNCTION("""COMPUTED_VALUE"""),"Coup perforant - Toucher")</f>
        <v>Coup perforant - Toucher</v>
      </c>
      <c r="K95" s="10" t="str">
        <f>IFERROR(__xludf.DUMMYFUNCTION("""COMPUTED_VALUE"""),"-")</f>
        <v>-</v>
      </c>
      <c r="L95" s="10" t="str">
        <f>IFERROR(__xludf.DUMMYFUNCTION("""COMPUTED_VALUE"""),"215 ±60")</f>
        <v>215 ±60</v>
      </c>
      <c r="M95" s="10" t="str">
        <f>IFERROR(__xludf.DUMMYFUNCTION("""COMPUTED_VALUE"""),"20 ±4")</f>
        <v>20 ±4</v>
      </c>
      <c r="N95" s="10" t="str">
        <f>IFERROR(__xludf.DUMMYFUNCTION("""COMPUTED_VALUE"""),"12 ±4")</f>
        <v>12 ±4</v>
      </c>
      <c r="O95" s="10" t="str">
        <f>IFERROR(__xludf.DUMMYFUNCTION("""COMPUTED_VALUE"""),"14 ±4")</f>
        <v>14 ±4</v>
      </c>
      <c r="P95" s="10" t="str">
        <f>IFERROR(__xludf.DUMMYFUNCTION("""COMPUTED_VALUE"""),"3 ±2")</f>
        <v>3 ±2</v>
      </c>
      <c r="Q95" s="10" t="str">
        <f>IFERROR(__xludf.DUMMYFUNCTION("""COMPUTED_VALUE"""),"4 ±1")</f>
        <v>4 ±1</v>
      </c>
      <c r="R95" s="10" t="str">
        <f>IFERROR(__xludf.DUMMYFUNCTION("""COMPUTED_VALUE"""),"20 ±3")</f>
        <v>20 ±3</v>
      </c>
      <c r="S95" s="10" t="str">
        <f>IFERROR(__xludf.DUMMYFUNCTION("""COMPUTED_VALUE"""),"")</f>
        <v/>
      </c>
      <c r="T95" s="10" t="str">
        <f>IFERROR(__xludf.DUMMYFUNCTION("""COMPUTED_VALUE"""),"3600 ±1000")</f>
        <v>3600 ±1000</v>
      </c>
      <c r="U95" s="10" t="str">
        <f>IFERROR(__xludf.DUMMYFUNCTION("""COMPUTED_VALUE"""),"2500 ±700")</f>
        <v>2500 ±700</v>
      </c>
      <c r="V95" s="10" t="str">
        <f>IFERROR(__xludf.DUMMYFUNCTION("""COMPUTED_VALUE"""),"7 ±3")</f>
        <v>7 ±3</v>
      </c>
      <c r="W95" s="10">
        <f>IFERROR(__xludf.DUMMYFUNCTION("""COMPUTED_VALUE"""),100.0)</f>
        <v>100</v>
      </c>
      <c r="X95" s="10" t="str">
        <f>IFERROR(__xludf.DUMMYFUNCTION("""COMPUTED_VALUE"""),"")</f>
        <v/>
      </c>
      <c r="Y95" s="10"/>
      <c r="Z95" s="10"/>
      <c r="AA95" s="10"/>
      <c r="AB95" s="10"/>
      <c r="AC95" s="10"/>
      <c r="AD95" s="10"/>
      <c r="AE95" s="10"/>
      <c r="AF95" s="10"/>
      <c r="AG95" s="10"/>
      <c r="AH95" s="10"/>
    </row>
    <row r="96">
      <c r="A96" s="10">
        <f>IFERROR(__xludf.DUMMYFUNCTION("""COMPUTED_VALUE"""),106.0)</f>
        <v>106</v>
      </c>
      <c r="B96" s="10" t="str">
        <f>IFERROR(__xludf.DUMMYFUNCTION("""COMPUTED_VALUE"""),"Grouilleux")</f>
        <v>Grouilleux</v>
      </c>
      <c r="C96" s="10" t="str">
        <f>IFERROR(__xludf.DUMMYFUNCTION("""COMPUTED_VALUE"""),"Monstre")</f>
        <v>Monstre</v>
      </c>
      <c r="D96" s="10">
        <f>IFERROR(__xludf.DUMMYFUNCTION("""COMPUTED_VALUE"""),4.0)</f>
        <v>4</v>
      </c>
      <c r="E96" s="10">
        <f>IFERROR(__xludf.DUMMYFUNCTION("""COMPUTED_VALUE"""),1.0)</f>
        <v>1</v>
      </c>
      <c r="F96" s="10" t="str">
        <f>IFERROR(__xludf.DUMMYFUNCTION("""COMPUTED_VALUE"""),"")</f>
        <v/>
      </c>
      <c r="G96" s="10" t="str">
        <f>IFERROR(__xludf.DUMMYFUNCTION("""COMPUTED_VALUE"""),"Non")</f>
        <v>Non</v>
      </c>
      <c r="H96" s="10" t="str">
        <f>IFERROR(__xludf.DUMMYFUNCTION("""COMPUTED_VALUE"""),"Rapide")</f>
        <v>Rapide</v>
      </c>
      <c r="I96" s="10" t="str">
        <f>IFERROR(__xludf.DUMMYFUNCTION("""COMPUTED_VALUE"""),"Non")</f>
        <v>Non</v>
      </c>
      <c r="J96" s="10" t="str">
        <f>IFERROR(__xludf.DUMMYFUNCTION("""COMPUTED_VALUE"""),"-")</f>
        <v>-</v>
      </c>
      <c r="K96" s="10" t="str">
        <f>IFERROR(__xludf.DUMMYFUNCTION("""COMPUTED_VALUE"""),"-")</f>
        <v>-</v>
      </c>
      <c r="L96" s="10" t="str">
        <f>IFERROR(__xludf.DUMMYFUNCTION("""COMPUTED_VALUE"""),"25 ±25")</f>
        <v>25 ±25</v>
      </c>
      <c r="M96" s="10" t="str">
        <f>IFERROR(__xludf.DUMMYFUNCTION("""COMPUTED_VALUE"""),"4 ±3")</f>
        <v>4 ±3</v>
      </c>
      <c r="N96" s="10" t="str">
        <f>IFERROR(__xludf.DUMMYFUNCTION("""COMPUTED_VALUE"""),"2 ±2")</f>
        <v>2 ±2</v>
      </c>
      <c r="O96" s="10" t="str">
        <f>IFERROR(__xludf.DUMMYFUNCTION("""COMPUTED_VALUE"""),"3 ±3")</f>
        <v>3 ±3</v>
      </c>
      <c r="P96" s="10" t="str">
        <f>IFERROR(__xludf.DUMMYFUNCTION("""COMPUTED_VALUE"""),"3 ±3")</f>
        <v>3 ±3</v>
      </c>
      <c r="Q96" s="10" t="str">
        <f>IFERROR(__xludf.DUMMYFUNCTION("""COMPUTED_VALUE"""),"1 ±1")</f>
        <v>1 ±1</v>
      </c>
      <c r="R96" s="10" t="str">
        <f>IFERROR(__xludf.DUMMYFUNCTION("""COMPUTED_VALUE"""),"1 ±2")</f>
        <v>1 ±2</v>
      </c>
      <c r="S96" s="10" t="str">
        <f>IFERROR(__xludf.DUMMYFUNCTION("""COMPUTED_VALUE"""),"")</f>
        <v/>
      </c>
      <c r="T96" s="10" t="str">
        <f>IFERROR(__xludf.DUMMYFUNCTION("""COMPUTED_VALUE"""),"100 ±0")</f>
        <v>100 ±0</v>
      </c>
      <c r="U96" s="10" t="str">
        <f>IFERROR(__xludf.DUMMYFUNCTION("""COMPUTED_VALUE"""),"100 ±100")</f>
        <v>100 ±100</v>
      </c>
      <c r="V96" s="10" t="str">
        <f>IFERROR(__xludf.DUMMYFUNCTION("""COMPUTED_VALUE"""),"9 ±1")</f>
        <v>9 ±1</v>
      </c>
      <c r="W96" s="10">
        <f>IFERROR(__xludf.DUMMYFUNCTION("""COMPUTED_VALUE"""),16.0)</f>
        <v>16</v>
      </c>
      <c r="X96" s="10" t="str">
        <f>IFERROR(__xludf.DUMMYFUNCTION("""COMPUTED_VALUE"""),"")</f>
        <v/>
      </c>
      <c r="Y96" s="10"/>
      <c r="Z96" s="10"/>
      <c r="AA96" s="10"/>
      <c r="AB96" s="10"/>
      <c r="AC96" s="10"/>
      <c r="AD96" s="10"/>
      <c r="AE96" s="10"/>
      <c r="AF96" s="10"/>
      <c r="AG96" s="10"/>
      <c r="AH96" s="10"/>
    </row>
    <row r="97">
      <c r="A97" s="10">
        <f>IFERROR(__xludf.DUMMYFUNCTION("""COMPUTED_VALUE"""),144.0)</f>
        <v>144</v>
      </c>
      <c r="B97" s="10" t="str">
        <f>IFERROR(__xludf.DUMMYFUNCTION("""COMPUTED_VALUE"""),"Grylle")</f>
        <v>Grylle</v>
      </c>
      <c r="C97" s="10" t="str">
        <f>IFERROR(__xludf.DUMMYFUNCTION("""COMPUTED_VALUE"""),"Monstre")</f>
        <v>Monstre</v>
      </c>
      <c r="D97" s="10">
        <f>IFERROR(__xludf.DUMMYFUNCTION("""COMPUTED_VALUE"""),31.0)</f>
        <v>31</v>
      </c>
      <c r="E97" s="10">
        <f>IFERROR(__xludf.DUMMYFUNCTION("""COMPUTED_VALUE"""),6.0)</f>
        <v>6</v>
      </c>
      <c r="F97" s="10" t="str">
        <f>IFERROR(__xludf.DUMMYFUNCTION("""COMPUTED_VALUE"""),"Non")</f>
        <v>Non</v>
      </c>
      <c r="G97" s="10" t="str">
        <f>IFERROR(__xludf.DUMMYFUNCTION("""COMPUTED_VALUE"""),"Non")</f>
        <v>Non</v>
      </c>
      <c r="H97" s="10" t="str">
        <f>IFERROR(__xludf.DUMMYFUNCTION("""COMPUTED_VALUE"""),"Rapide")</f>
        <v>Rapide</v>
      </c>
      <c r="I97" s="10" t="str">
        <f>IFERROR(__xludf.DUMMYFUNCTION("""COMPUTED_VALUE"""),"Non")</f>
        <v>Non</v>
      </c>
      <c r="J97" s="10" t="str">
        <f>IFERROR(__xludf.DUMMYFUNCTION("""COMPUTED_VALUE"""),"Constriction - Zone (1)")</f>
        <v>Constriction - Zone (1)</v>
      </c>
      <c r="K97" s="10" t="str">
        <f>IFERROR(__xludf.DUMMYFUNCTION("""COMPUTED_VALUE"""),"-")</f>
        <v>-</v>
      </c>
      <c r="L97" s="10" t="str">
        <f>IFERROR(__xludf.DUMMYFUNCTION("""COMPUTED_VALUE"""),"100 ±35")</f>
        <v>100 ±35</v>
      </c>
      <c r="M97" s="10" t="str">
        <f>IFERROR(__xludf.DUMMYFUNCTION("""COMPUTED_VALUE"""),"10 ±3")</f>
        <v>10 ±3</v>
      </c>
      <c r="N97" s="10" t="str">
        <f>IFERROR(__xludf.DUMMYFUNCTION("""COMPUTED_VALUE"""),"13 ±3")</f>
        <v>13 ±3</v>
      </c>
      <c r="O97" s="10" t="str">
        <f>IFERROR(__xludf.DUMMYFUNCTION("""COMPUTED_VALUE"""),"5 ±3")</f>
        <v>5 ±3</v>
      </c>
      <c r="P97" s="10" t="str">
        <f>IFERROR(__xludf.DUMMYFUNCTION("""COMPUTED_VALUE"""),"5 ±3")</f>
        <v>5 ±3</v>
      </c>
      <c r="Q97" s="10" t="str">
        <f>IFERROR(__xludf.DUMMYFUNCTION("""COMPUTED_VALUE"""),"5 ±2")</f>
        <v>5 ±2</v>
      </c>
      <c r="R97" s="10" t="str">
        <f>IFERROR(__xludf.DUMMYFUNCTION("""COMPUTED_VALUE"""),"15 ±4")</f>
        <v>15 ±4</v>
      </c>
      <c r="S97" s="10" t="str">
        <f>IFERROR(__xludf.DUMMYFUNCTION("""COMPUTED_VALUE"""),"")</f>
        <v/>
      </c>
      <c r="T97" s="10" t="str">
        <f>IFERROR(__xludf.DUMMYFUNCTION("""COMPUTED_VALUE"""),"2000 ±500")</f>
        <v>2000 ±500</v>
      </c>
      <c r="U97" s="10" t="str">
        <f>IFERROR(__xludf.DUMMYFUNCTION("""COMPUTED_VALUE"""),"400 ±200")</f>
        <v>400 ±200</v>
      </c>
      <c r="V97" s="10" t="str">
        <f>IFERROR(__xludf.DUMMYFUNCTION("""COMPUTED_VALUE"""),"12 ±3")</f>
        <v>12 ±3</v>
      </c>
      <c r="W97" s="10">
        <f>IFERROR(__xludf.DUMMYFUNCTION("""COMPUTED_VALUE"""),149.0)</f>
        <v>149</v>
      </c>
      <c r="X97" s="10" t="str">
        <f>IFERROR(__xludf.DUMMYFUNCTION("""COMPUTED_VALUE"""),"")</f>
        <v/>
      </c>
      <c r="Y97" s="10"/>
      <c r="Z97" s="10"/>
      <c r="AA97" s="10"/>
      <c r="AB97" s="10"/>
      <c r="AC97" s="10"/>
      <c r="AD97" s="10"/>
      <c r="AE97" s="10"/>
      <c r="AF97" s="10"/>
      <c r="AG97" s="10"/>
      <c r="AH97" s="10"/>
    </row>
    <row r="98">
      <c r="A98" s="10" t="str">
        <f>IFERROR(__xludf.DUMMYFUNCTION("""COMPUTED_VALUE"""),"*Id*")</f>
        <v>*Id*</v>
      </c>
      <c r="B98" s="10" t="str">
        <f>IFERROR(__xludf.DUMMYFUNCTION("""COMPUTED_VALUE"""),"*Nom*")</f>
        <v>*Nom*</v>
      </c>
      <c r="C98" s="10" t="str">
        <f>IFERROR(__xludf.DUMMYFUNCTION("""COMPUTED_VALUE"""),"*Famille*")</f>
        <v>*Famille*</v>
      </c>
      <c r="D98" s="10" t="str">
        <f>IFERROR(__xludf.DUMMYFUNCTION("""COMPUTED_VALUE"""),"*Niv*")</f>
        <v>*Niv*</v>
      </c>
      <c r="E98" s="10" t="str">
        <f>IFERROR(__xludf.DUMMYFUNCTION("""COMPUTED_VALUE"""),"*Nb att*")</f>
        <v>*Nb att*</v>
      </c>
      <c r="F98" s="10" t="str">
        <f>IFERROR(__xludf.DUMMYFUNCTION("""COMPUTED_VALUE"""),"*Att mag*")</f>
        <v>*Att mag*</v>
      </c>
      <c r="G98" s="10" t="str">
        <f>IFERROR(__xludf.DUMMYFUNCTION("""COMPUTED_VALUE"""),"*Att dist*")</f>
        <v>*Att dist*</v>
      </c>
      <c r="H98" s="10" t="str">
        <f>IFERROR(__xludf.DUMMYFUNCTION("""COMPUTED_VALUE"""),"*Vit*")</f>
        <v>*Vit*</v>
      </c>
      <c r="I98" s="10" t="str">
        <f>IFERROR(__xludf.DUMMYFUNCTION("""COMPUTED_VALUE"""),"*VlC*")</f>
        <v>*VlC*</v>
      </c>
      <c r="J98" s="10" t="str">
        <f>IFERROR(__xludf.DUMMYFUNCTION("""COMPUTED_VALUE"""),"*Pouvoir 1*")</f>
        <v>*Pouvoir 1*</v>
      </c>
      <c r="K98" s="10" t="str">
        <f>IFERROR(__xludf.DUMMYFUNCTION("""COMPUTED_VALUE"""),"*Pouvoir 2*")</f>
        <v>*Pouvoir 2*</v>
      </c>
      <c r="L98" s="10" t="str">
        <f>IFERROR(__xludf.DUMMYFUNCTION("""COMPUTED_VALUE"""),"*PV*")</f>
        <v>*PV*</v>
      </c>
      <c r="M98" s="10" t="str">
        <f>IFERROR(__xludf.DUMMYFUNCTION("""COMPUTED_VALUE"""),"*Att*")</f>
        <v>*Att*</v>
      </c>
      <c r="N98" s="10" t="str">
        <f>IFERROR(__xludf.DUMMYFUNCTION("""COMPUTED_VALUE"""),"*Esq*")</f>
        <v>*Esq*</v>
      </c>
      <c r="O98" s="10" t="str">
        <f>IFERROR(__xludf.DUMMYFUNCTION("""COMPUTED_VALUE"""),"*Dégât*")</f>
        <v>*Dégât*</v>
      </c>
      <c r="P98" s="10" t="str">
        <f>IFERROR(__xludf.DUMMYFUNCTION("""COMPUTED_VALUE"""),"*Vue*")</f>
        <v>*Vue*</v>
      </c>
      <c r="Q98" s="10" t="str">
        <f>IFERROR(__xludf.DUMMYFUNCTION("""COMPUTED_VALUE"""),"*Régen*")</f>
        <v>*Régen*</v>
      </c>
      <c r="R98" s="10" t="str">
        <f>IFERROR(__xludf.DUMMYFUNCTION("""COMPUTED_VALUE"""),"*Arm phy*")</f>
        <v>*Arm phy*</v>
      </c>
      <c r="S98" s="10" t="str">
        <f>IFERROR(__xludf.DUMMYFUNCTION("""COMPUTED_VALUE"""),"*Arm mag*")</f>
        <v>*Arm mag*</v>
      </c>
      <c r="T98" s="10" t="str">
        <f>IFERROR(__xludf.DUMMYFUNCTION("""COMPUTED_VALUE"""),"*MM*")</f>
        <v>*MM*</v>
      </c>
      <c r="U98" s="10" t="str">
        <f>IFERROR(__xludf.DUMMYFUNCTION("""COMPUTED_VALUE"""),"*RM*")</f>
        <v>*RM*</v>
      </c>
      <c r="V98" s="10" t="str">
        <f>IFERROR(__xludf.DUMMYFUNCTION("""COMPUTED_VALUE"""),"*DLA*")</f>
        <v>*DLA*</v>
      </c>
      <c r="W98" s="10" t="str">
        <f>IFERROR(__xludf.DUMMYFUNCTION("""COMPUTED_VALUE"""),"*Echant*")</f>
        <v>*Echant*</v>
      </c>
      <c r="X98" s="10" t="str">
        <f>IFERROR(__xludf.DUMMYFUNCTION("""COMPUTED_VALUE"""),"*Vole*")</f>
        <v>*Vole*</v>
      </c>
      <c r="Y98" s="10"/>
      <c r="Z98" s="10"/>
      <c r="AA98" s="10"/>
      <c r="AB98" s="10"/>
      <c r="AC98" s="10"/>
      <c r="AD98" s="10"/>
      <c r="AE98" s="10"/>
      <c r="AF98" s="10"/>
      <c r="AG98" s="10"/>
      <c r="AH98" s="10"/>
    </row>
    <row r="99">
      <c r="A99" s="10">
        <f>IFERROR(__xludf.DUMMYFUNCTION("""COMPUTED_VALUE"""),14.0)</f>
        <v>14</v>
      </c>
      <c r="B99" s="10" t="str">
        <f>IFERROR(__xludf.DUMMYFUNCTION("""COMPUTED_VALUE"""),"Harpie")</f>
        <v>Harpie</v>
      </c>
      <c r="C99" s="10" t="str">
        <f>IFERROR(__xludf.DUMMYFUNCTION("""COMPUTED_VALUE"""),"Monstre")</f>
        <v>Monstre</v>
      </c>
      <c r="D99" s="10">
        <f>IFERROR(__xludf.DUMMYFUNCTION("""COMPUTED_VALUE"""),4.0)</f>
        <v>4</v>
      </c>
      <c r="E99" s="10">
        <f>IFERROR(__xludf.DUMMYFUNCTION("""COMPUTED_VALUE"""),2.0)</f>
        <v>2</v>
      </c>
      <c r="F99" s="10" t="str">
        <f>IFERROR(__xludf.DUMMYFUNCTION("""COMPUTED_VALUE"""),"Non")</f>
        <v>Non</v>
      </c>
      <c r="G99" s="10" t="str">
        <f>IFERROR(__xludf.DUMMYFUNCTION("""COMPUTED_VALUE"""),"Non")</f>
        <v>Non</v>
      </c>
      <c r="H99" s="10" t="str">
        <f>IFERROR(__xludf.DUMMYFUNCTION("""COMPUTED_VALUE"""),"Normale")</f>
        <v>Normale</v>
      </c>
      <c r="I99" s="10" t="str">
        <f>IFERROR(__xludf.DUMMYFUNCTION("""COMPUTED_VALUE"""),"Non")</f>
        <v>Non</v>
      </c>
      <c r="J99" s="10" t="str">
        <f>IFERROR(__xludf.DUMMYFUNCTION("""COMPUTED_VALUE"""),"Coup perforant - Toucher")</f>
        <v>Coup perforant - Toucher</v>
      </c>
      <c r="K99" s="10" t="str">
        <f>IFERROR(__xludf.DUMMYFUNCTION("""COMPUTED_VALUE"""),"-")</f>
        <v>-</v>
      </c>
      <c r="L99" s="10" t="str">
        <f>IFERROR(__xludf.DUMMYFUNCTION("""COMPUTED_VALUE"""),"30 ±25")</f>
        <v>30 ±25</v>
      </c>
      <c r="M99" s="10" t="str">
        <f>IFERROR(__xludf.DUMMYFUNCTION("""COMPUTED_VALUE"""),"4 ±3")</f>
        <v>4 ±3</v>
      </c>
      <c r="N99" s="10" t="str">
        <f>IFERROR(__xludf.DUMMYFUNCTION("""COMPUTED_VALUE"""),"6 ±3")</f>
        <v>6 ±3</v>
      </c>
      <c r="O99" s="10" t="str">
        <f>IFERROR(__xludf.DUMMYFUNCTION("""COMPUTED_VALUE"""),"2 ±2")</f>
        <v>2 ±2</v>
      </c>
      <c r="P99" s="10" t="str">
        <f>IFERROR(__xludf.DUMMYFUNCTION("""COMPUTED_VALUE"""),"4 ±3")</f>
        <v>4 ±3</v>
      </c>
      <c r="Q99" s="10" t="str">
        <f>IFERROR(__xludf.DUMMYFUNCTION("""COMPUTED_VALUE"""),"1 ±1")</f>
        <v>1 ±1</v>
      </c>
      <c r="R99" s="10" t="str">
        <f>IFERROR(__xludf.DUMMYFUNCTION("""COMPUTED_VALUE"""),"1 ±1")</f>
        <v>1 ±1</v>
      </c>
      <c r="S99" s="10" t="str">
        <f>IFERROR(__xludf.DUMMYFUNCTION("""COMPUTED_VALUE"""),"")</f>
        <v/>
      </c>
      <c r="T99" s="10" t="str">
        <f>IFERROR(__xludf.DUMMYFUNCTION("""COMPUTED_VALUE"""),"100 ±200")</f>
        <v>100 ±200</v>
      </c>
      <c r="U99" s="10" t="str">
        <f>IFERROR(__xludf.DUMMYFUNCTION("""COMPUTED_VALUE"""),"100 ±200")</f>
        <v>100 ±200</v>
      </c>
      <c r="V99" s="10" t="str">
        <f>IFERROR(__xludf.DUMMYFUNCTION("""COMPUTED_VALUE"""),"13 ±4")</f>
        <v>13 ±4</v>
      </c>
      <c r="W99" s="10">
        <f>IFERROR(__xludf.DUMMYFUNCTION("""COMPUTED_VALUE"""),24.0)</f>
        <v>24</v>
      </c>
      <c r="X99" s="10" t="str">
        <f>IFERROR(__xludf.DUMMYFUNCTION("""COMPUTED_VALUE"""),"")</f>
        <v/>
      </c>
      <c r="Y99" s="10"/>
      <c r="Z99" s="10"/>
      <c r="AA99" s="10"/>
      <c r="AB99" s="10"/>
      <c r="AC99" s="10"/>
      <c r="AD99" s="10"/>
      <c r="AE99" s="10"/>
      <c r="AF99" s="10"/>
      <c r="AG99" s="10"/>
      <c r="AH99" s="10"/>
    </row>
    <row r="100">
      <c r="A100" s="10">
        <f>IFERROR(__xludf.DUMMYFUNCTION("""COMPUTED_VALUE"""),165.0)</f>
        <v>165</v>
      </c>
      <c r="B100" s="10" t="str">
        <f>IFERROR(__xludf.DUMMYFUNCTION("""COMPUTED_VALUE"""),"Hellrot")</f>
        <v>Hellrot</v>
      </c>
      <c r="C100" s="10" t="str">
        <f>IFERROR(__xludf.DUMMYFUNCTION("""COMPUTED_VALUE"""),"Démon")</f>
        <v>Démon</v>
      </c>
      <c r="D100" s="10">
        <f>IFERROR(__xludf.DUMMYFUNCTION("""COMPUTED_VALUE"""),18.0)</f>
        <v>18</v>
      </c>
      <c r="E100" s="10">
        <f>IFERROR(__xludf.DUMMYFUNCTION("""COMPUTED_VALUE"""),2.0)</f>
        <v>2</v>
      </c>
      <c r="F100" s="10" t="str">
        <f>IFERROR(__xludf.DUMMYFUNCTION("""COMPUTED_VALUE"""),"Non")</f>
        <v>Non</v>
      </c>
      <c r="G100" s="10" t="str">
        <f>IFERROR(__xludf.DUMMYFUNCTION("""COMPUTED_VALUE"""),"Non")</f>
        <v>Non</v>
      </c>
      <c r="H100" s="10" t="str">
        <f>IFERROR(__xludf.DUMMYFUNCTION("""COMPUTED_VALUE"""),"Normale")</f>
        <v>Normale</v>
      </c>
      <c r="I100" s="10" t="str">
        <f>IFERROR(__xludf.DUMMYFUNCTION("""COMPUTED_VALUE"""),"Oui")</f>
        <v>Oui</v>
      </c>
      <c r="J100" s="10" t="str">
        <f>IFERROR(__xludf.DUMMYFUNCTION("""COMPUTED_VALUE"""),"Venin - Toucher")</f>
        <v>Venin - Toucher</v>
      </c>
      <c r="K100" s="10" t="str">
        <f>IFERROR(__xludf.DUMMYFUNCTION("""COMPUTED_VALUE"""),"Mort : Maladie - zone")</f>
        <v>Mort : Maladie - zone</v>
      </c>
      <c r="L100" s="10" t="str">
        <f>IFERROR(__xludf.DUMMYFUNCTION("""COMPUTED_VALUE"""),"90 ±35")</f>
        <v>90 ±35</v>
      </c>
      <c r="M100" s="10" t="str">
        <f>IFERROR(__xludf.DUMMYFUNCTION("""COMPUTED_VALUE"""),"10 ±3")</f>
        <v>10 ±3</v>
      </c>
      <c r="N100" s="10" t="str">
        <f>IFERROR(__xludf.DUMMYFUNCTION("""COMPUTED_VALUE"""),"8 ±3")</f>
        <v>8 ±3</v>
      </c>
      <c r="O100" s="10" t="str">
        <f>IFERROR(__xludf.DUMMYFUNCTION("""COMPUTED_VALUE"""),"8 ±3")</f>
        <v>8 ±3</v>
      </c>
      <c r="P100" s="10" t="str">
        <f>IFERROR(__xludf.DUMMYFUNCTION("""COMPUTED_VALUE"""),"3 ±2")</f>
        <v>3 ±2</v>
      </c>
      <c r="Q100" s="10" t="str">
        <f>IFERROR(__xludf.DUMMYFUNCTION("""COMPUTED_VALUE"""),"4 ±1")</f>
        <v>4 ±1</v>
      </c>
      <c r="R100" s="10" t="str">
        <f>IFERROR(__xludf.DUMMYFUNCTION("""COMPUTED_VALUE"""),"5 ±3")</f>
        <v>5 ±3</v>
      </c>
      <c r="S100" s="10" t="str">
        <f>IFERROR(__xludf.DUMMYFUNCTION("""COMPUTED_VALUE"""),"")</f>
        <v/>
      </c>
      <c r="T100" s="10" t="str">
        <f>IFERROR(__xludf.DUMMYFUNCTION("""COMPUTED_VALUE"""),"700 ±300")</f>
        <v>700 ±300</v>
      </c>
      <c r="U100" s="10" t="str">
        <f>IFERROR(__xludf.DUMMYFUNCTION("""COMPUTED_VALUE"""),"400 ±300")</f>
        <v>400 ±300</v>
      </c>
      <c r="V100" s="10" t="str">
        <f>IFERROR(__xludf.DUMMYFUNCTION("""COMPUTED_VALUE"""),"10 ±4")</f>
        <v>10 ±4</v>
      </c>
      <c r="W100" s="10">
        <f>IFERROR(__xludf.DUMMYFUNCTION("""COMPUTED_VALUE"""),88.0)</f>
        <v>88</v>
      </c>
      <c r="X100" s="10" t="str">
        <f>IFERROR(__xludf.DUMMYFUNCTION("""COMPUTED_VALUE"""),"")</f>
        <v/>
      </c>
      <c r="Y100" s="10"/>
      <c r="Z100" s="10"/>
      <c r="AA100" s="10"/>
      <c r="AB100" s="10"/>
      <c r="AC100" s="10"/>
      <c r="AD100" s="10"/>
      <c r="AE100" s="10"/>
      <c r="AF100" s="10"/>
      <c r="AG100" s="10"/>
      <c r="AH100" s="10"/>
    </row>
    <row r="101">
      <c r="A101" s="10">
        <f>IFERROR(__xludf.DUMMYFUNCTION("""COMPUTED_VALUE"""),71.0)</f>
        <v>71</v>
      </c>
      <c r="B101" s="10" t="str">
        <f>IFERROR(__xludf.DUMMYFUNCTION("""COMPUTED_VALUE"""),"Homme-Lezard")</f>
        <v>Homme-Lezard</v>
      </c>
      <c r="C101" s="10" t="str">
        <f>IFERROR(__xludf.DUMMYFUNCTION("""COMPUTED_VALUE"""),"Humanoïde")</f>
        <v>Humanoïde</v>
      </c>
      <c r="D101" s="10">
        <f>IFERROR(__xludf.DUMMYFUNCTION("""COMPUTED_VALUE"""),4.0)</f>
        <v>4</v>
      </c>
      <c r="E101" s="10">
        <f>IFERROR(__xludf.DUMMYFUNCTION("""COMPUTED_VALUE"""),1.0)</f>
        <v>1</v>
      </c>
      <c r="F101" s="10" t="str">
        <f>IFERROR(__xludf.DUMMYFUNCTION("""COMPUTED_VALUE"""),"")</f>
        <v/>
      </c>
      <c r="G101" s="10" t="str">
        <f>IFERROR(__xludf.DUMMYFUNCTION("""COMPUTED_VALUE"""),"Non")</f>
        <v>Non</v>
      </c>
      <c r="H101" s="10" t="str">
        <f>IFERROR(__xludf.DUMMYFUNCTION("""COMPUTED_VALUE"""),"Normale")</f>
        <v>Normale</v>
      </c>
      <c r="I101" s="10" t="str">
        <f>IFERROR(__xludf.DUMMYFUNCTION("""COMPUTED_VALUE"""),"Non")</f>
        <v>Non</v>
      </c>
      <c r="J101" s="10" t="str">
        <f>IFERROR(__xludf.DUMMYFUNCTION("""COMPUTED_VALUE"""),"-")</f>
        <v>-</v>
      </c>
      <c r="K101" s="10" t="str">
        <f>IFERROR(__xludf.DUMMYFUNCTION("""COMPUTED_VALUE"""),"-")</f>
        <v>-</v>
      </c>
      <c r="L101" s="10" t="str">
        <f>IFERROR(__xludf.DUMMYFUNCTION("""COMPUTED_VALUE"""),"50 ±25")</f>
        <v>50 ±25</v>
      </c>
      <c r="M101" s="10" t="str">
        <f>IFERROR(__xludf.DUMMYFUNCTION("""COMPUTED_VALUE"""),"4 ±3")</f>
        <v>4 ±3</v>
      </c>
      <c r="N101" s="10" t="str">
        <f>IFERROR(__xludf.DUMMYFUNCTION("""COMPUTED_VALUE"""),"4 ±3")</f>
        <v>4 ±3</v>
      </c>
      <c r="O101" s="10" t="str">
        <f>IFERROR(__xludf.DUMMYFUNCTION("""COMPUTED_VALUE"""),"5 ±3")</f>
        <v>5 ±3</v>
      </c>
      <c r="P101" s="10" t="str">
        <f>IFERROR(__xludf.DUMMYFUNCTION("""COMPUTED_VALUE"""),"3 ±2")</f>
        <v>3 ±2</v>
      </c>
      <c r="Q101" s="10" t="str">
        <f>IFERROR(__xludf.DUMMYFUNCTION("""COMPUTED_VALUE"""),"2 ±1")</f>
        <v>2 ±1</v>
      </c>
      <c r="R101" s="10" t="str">
        <f>IFERROR(__xludf.DUMMYFUNCTION("""COMPUTED_VALUE"""),"8 ±3")</f>
        <v>8 ±3</v>
      </c>
      <c r="S101" s="10" t="str">
        <f>IFERROR(__xludf.DUMMYFUNCTION("""COMPUTED_VALUE"""),"")</f>
        <v/>
      </c>
      <c r="T101" s="10" t="str">
        <f>IFERROR(__xludf.DUMMYFUNCTION("""COMPUTED_VALUE"""),"300 ±200")</f>
        <v>300 ±200</v>
      </c>
      <c r="U101" s="10" t="str">
        <f>IFERROR(__xludf.DUMMYFUNCTION("""COMPUTED_VALUE"""),"200 ±300")</f>
        <v>200 ±300</v>
      </c>
      <c r="V101" s="10" t="str">
        <f>IFERROR(__xludf.DUMMYFUNCTION("""COMPUTED_VALUE"""),"13 ±3")</f>
        <v>13 ±3</v>
      </c>
      <c r="W101" s="10">
        <f>IFERROR(__xludf.DUMMYFUNCTION("""COMPUTED_VALUE"""),16.0)</f>
        <v>16</v>
      </c>
      <c r="X101" s="10" t="str">
        <f>IFERROR(__xludf.DUMMYFUNCTION("""COMPUTED_VALUE"""),"")</f>
        <v/>
      </c>
      <c r="Y101" s="10"/>
      <c r="Z101" s="10"/>
      <c r="AA101" s="10"/>
      <c r="AB101" s="10"/>
      <c r="AC101" s="10"/>
      <c r="AD101" s="10"/>
      <c r="AE101" s="10"/>
      <c r="AF101" s="10"/>
      <c r="AG101" s="10"/>
      <c r="AH101" s="10"/>
    </row>
    <row r="102">
      <c r="A102" s="10">
        <f>IFERROR(__xludf.DUMMYFUNCTION("""COMPUTED_VALUE"""),131.0)</f>
        <v>131</v>
      </c>
      <c r="B102" s="10" t="str">
        <f>IFERROR(__xludf.DUMMYFUNCTION("""COMPUTED_VALUE"""),"Hurleur")</f>
        <v>Hurleur</v>
      </c>
      <c r="C102" s="10" t="str">
        <f>IFERROR(__xludf.DUMMYFUNCTION("""COMPUTED_VALUE"""),"Humanoïde")</f>
        <v>Humanoïde</v>
      </c>
      <c r="D102" s="10">
        <f>IFERROR(__xludf.DUMMYFUNCTION("""COMPUTED_VALUE"""),8.0)</f>
        <v>8</v>
      </c>
      <c r="E102" s="10">
        <f>IFERROR(__xludf.DUMMYFUNCTION("""COMPUTED_VALUE"""),1.0)</f>
        <v>1</v>
      </c>
      <c r="F102" s="10" t="str">
        <f>IFERROR(__xludf.DUMMYFUNCTION("""COMPUTED_VALUE"""),"")</f>
        <v/>
      </c>
      <c r="G102" s="10" t="str">
        <f>IFERROR(__xludf.DUMMYFUNCTION("""COMPUTED_VALUE"""),"Non")</f>
        <v>Non</v>
      </c>
      <c r="H102" s="10" t="str">
        <f>IFERROR(__xludf.DUMMYFUNCTION("""COMPUTED_VALUE"""),"Rapide")</f>
        <v>Rapide</v>
      </c>
      <c r="I102" s="10" t="str">
        <f>IFERROR(__xludf.DUMMYFUNCTION("""COMPUTED_VALUE"""),"Non")</f>
        <v>Non</v>
      </c>
      <c r="J102" s="10" t="str">
        <f>IFERROR(__xludf.DUMMYFUNCTION("""COMPUTED_VALUE"""),"Charme - Zone (1/1)")</f>
        <v>Charme - Zone (1/1)</v>
      </c>
      <c r="K102" s="10" t="str">
        <f>IFERROR(__xludf.DUMMYFUNCTION("""COMPUTED_VALUE"""),"-")</f>
        <v>-</v>
      </c>
      <c r="L102" s="10" t="str">
        <f>IFERROR(__xludf.DUMMYFUNCTION("""COMPUTED_VALUE"""),"45 ±30")</f>
        <v>45 ±30</v>
      </c>
      <c r="M102" s="10" t="str">
        <f>IFERROR(__xludf.DUMMYFUNCTION("""COMPUTED_VALUE"""),"7 ±3")</f>
        <v>7 ±3</v>
      </c>
      <c r="N102" s="10" t="str">
        <f>IFERROR(__xludf.DUMMYFUNCTION("""COMPUTED_VALUE"""),"7 ±3")</f>
        <v>7 ±3</v>
      </c>
      <c r="O102" s="10" t="str">
        <f>IFERROR(__xludf.DUMMYFUNCTION("""COMPUTED_VALUE"""),"3 ±2")</f>
        <v>3 ±2</v>
      </c>
      <c r="P102" s="10" t="str">
        <f>IFERROR(__xludf.DUMMYFUNCTION("""COMPUTED_VALUE"""),"3 ±2")</f>
        <v>3 ±2</v>
      </c>
      <c r="Q102" s="10" t="str">
        <f>IFERROR(__xludf.DUMMYFUNCTION("""COMPUTED_VALUE"""),"1 ±1")</f>
        <v>1 ±1</v>
      </c>
      <c r="R102" s="10" t="str">
        <f>IFERROR(__xludf.DUMMYFUNCTION("""COMPUTED_VALUE"""),"6 ±3")</f>
        <v>6 ±3</v>
      </c>
      <c r="S102" s="10" t="str">
        <f>IFERROR(__xludf.DUMMYFUNCTION("""COMPUTED_VALUE"""),"")</f>
        <v/>
      </c>
      <c r="T102" s="10" t="str">
        <f>IFERROR(__xludf.DUMMYFUNCTION("""COMPUTED_VALUE"""),"300 ±300")</f>
        <v>300 ±300</v>
      </c>
      <c r="U102" s="10" t="str">
        <f>IFERROR(__xludf.DUMMYFUNCTION("""COMPUTED_VALUE"""),"400 ±300")</f>
        <v>400 ±300</v>
      </c>
      <c r="V102" s="10" t="str">
        <f>IFERROR(__xludf.DUMMYFUNCTION("""COMPUTED_VALUE"""),"12 ±3")</f>
        <v>12 ±3</v>
      </c>
      <c r="W102" s="10">
        <f>IFERROR(__xludf.DUMMYFUNCTION("""COMPUTED_VALUE"""),41.0)</f>
        <v>41</v>
      </c>
      <c r="X102" s="10" t="str">
        <f>IFERROR(__xludf.DUMMYFUNCTION("""COMPUTED_VALUE"""),"")</f>
        <v/>
      </c>
      <c r="Y102" s="10"/>
      <c r="Z102" s="10"/>
      <c r="AA102" s="10"/>
      <c r="AB102" s="10"/>
      <c r="AC102" s="10"/>
      <c r="AD102" s="10"/>
      <c r="AE102" s="10"/>
      <c r="AF102" s="10"/>
      <c r="AG102" s="10"/>
      <c r="AH102" s="10"/>
    </row>
    <row r="103">
      <c r="A103" s="10" t="str">
        <f>IFERROR(__xludf.DUMMYFUNCTION("""COMPUTED_VALUE"""),"")</f>
        <v/>
      </c>
      <c r="B103" s="10" t="str">
        <f>IFERROR(__xludf.DUMMYFUNCTION("""COMPUTED_VALUE"""),"Hydre")</f>
        <v>Hydre</v>
      </c>
      <c r="C103" s="10" t="str">
        <f>IFERROR(__xludf.DUMMYFUNCTION("""COMPUTED_VALUE"""),"Monstre")</f>
        <v>Monstre</v>
      </c>
      <c r="D103" s="10">
        <f>IFERROR(__xludf.DUMMYFUNCTION("""COMPUTED_VALUE"""),50.0)</f>
        <v>50</v>
      </c>
      <c r="E103" s="10" t="str">
        <f>IFERROR(__xludf.DUMMYFUNCTION("""COMPUTED_VALUE"""),"")</f>
        <v/>
      </c>
      <c r="F103" s="10" t="str">
        <f>IFERROR(__xludf.DUMMYFUNCTION("""COMPUTED_VALUE"""),"")</f>
        <v/>
      </c>
      <c r="G103" s="10" t="str">
        <f>IFERROR(__xludf.DUMMYFUNCTION("""COMPUTED_VALUE"""),"")</f>
        <v/>
      </c>
      <c r="H103" s="10" t="str">
        <f>IFERROR(__xludf.DUMMYFUNCTION("""COMPUTED_VALUE"""),"Normale")</f>
        <v>Normale</v>
      </c>
      <c r="I103" s="10" t="str">
        <f>IFERROR(__xludf.DUMMYFUNCTION("""COMPUTED_VALUE"""),"")</f>
        <v/>
      </c>
      <c r="J103" s="10" t="str">
        <f>IFERROR(__xludf.DUMMYFUNCTION("""COMPUTED_VALUE"""),"*Monstre Mythique*")</f>
        <v>*Monstre Mythique*</v>
      </c>
      <c r="K103" s="10" t="str">
        <f>IFERROR(__xludf.DUMMYFUNCTION("""COMPUTED_VALUE"""),"")</f>
        <v/>
      </c>
      <c r="L103" s="10" t="str">
        <f>IFERROR(__xludf.DUMMYFUNCTION("""COMPUTED_VALUE"""),"")</f>
        <v/>
      </c>
      <c r="M103" s="10" t="str">
        <f>IFERROR(__xludf.DUMMYFUNCTION("""COMPUTED_VALUE"""),"")</f>
        <v/>
      </c>
      <c r="N103" s="10" t="str">
        <f>IFERROR(__xludf.DUMMYFUNCTION("""COMPUTED_VALUE"""),"")</f>
        <v/>
      </c>
      <c r="O103" s="10" t="str">
        <f>IFERROR(__xludf.DUMMYFUNCTION("""COMPUTED_VALUE"""),"")</f>
        <v/>
      </c>
      <c r="P103" s="10" t="str">
        <f>IFERROR(__xludf.DUMMYFUNCTION("""COMPUTED_VALUE"""),"")</f>
        <v/>
      </c>
      <c r="Q103" s="10" t="str">
        <f>IFERROR(__xludf.DUMMYFUNCTION("""COMPUTED_VALUE"""),"")</f>
        <v/>
      </c>
      <c r="R103" s="10" t="str">
        <f>IFERROR(__xludf.DUMMYFUNCTION("""COMPUTED_VALUE"""),"")</f>
        <v/>
      </c>
      <c r="S103" s="10" t="str">
        <f>IFERROR(__xludf.DUMMYFUNCTION("""COMPUTED_VALUE"""),"")</f>
        <v/>
      </c>
      <c r="T103" s="10" t="str">
        <f>IFERROR(__xludf.DUMMYFUNCTION("""COMPUTED_VALUE"""),"")</f>
        <v/>
      </c>
      <c r="U103" s="10" t="str">
        <f>IFERROR(__xludf.DUMMYFUNCTION("""COMPUTED_VALUE"""),"")</f>
        <v/>
      </c>
      <c r="V103" s="10" t="str">
        <f>IFERROR(__xludf.DUMMYFUNCTION("""COMPUTED_VALUE"""),"")</f>
        <v/>
      </c>
      <c r="W103" s="10" t="str">
        <f>IFERROR(__xludf.DUMMYFUNCTION("""COMPUTED_VALUE"""),"")</f>
        <v/>
      </c>
      <c r="X103" s="10" t="str">
        <f>IFERROR(__xludf.DUMMYFUNCTION("""COMPUTED_VALUE"""),"")</f>
        <v/>
      </c>
      <c r="Y103" s="10"/>
      <c r="Z103" s="10"/>
      <c r="AA103" s="10"/>
      <c r="AB103" s="10"/>
      <c r="AC103" s="10"/>
      <c r="AD103" s="10"/>
      <c r="AE103" s="10"/>
      <c r="AF103" s="10"/>
      <c r="AG103" s="10"/>
      <c r="AH103" s="10"/>
    </row>
    <row r="104">
      <c r="A104" s="10">
        <f>IFERROR(__xludf.DUMMYFUNCTION("""COMPUTED_VALUE"""),198.0)</f>
        <v>198</v>
      </c>
      <c r="B104" s="10" t="str">
        <f>IFERROR(__xludf.DUMMYFUNCTION("""COMPUTED_VALUE"""),"Incube")</f>
        <v>Incube</v>
      </c>
      <c r="C104" s="10" t="str">
        <f>IFERROR(__xludf.DUMMYFUNCTION("""COMPUTED_VALUE"""),"Démon")</f>
        <v>Démon</v>
      </c>
      <c r="D104" s="10">
        <f>IFERROR(__xludf.DUMMYFUNCTION("""COMPUTED_VALUE"""),13.0)</f>
        <v>13</v>
      </c>
      <c r="E104" s="10">
        <f>IFERROR(__xludf.DUMMYFUNCTION("""COMPUTED_VALUE"""),2.0)</f>
        <v>2</v>
      </c>
      <c r="F104" s="10" t="str">
        <f>IFERROR(__xludf.DUMMYFUNCTION("""COMPUTED_VALUE"""),"Non")</f>
        <v>Non</v>
      </c>
      <c r="G104" s="10" t="str">
        <f>IFERROR(__xludf.DUMMYFUNCTION("""COMPUTED_VALUE"""),"Non")</f>
        <v>Non</v>
      </c>
      <c r="H104" s="10" t="str">
        <f>IFERROR(__xludf.DUMMYFUNCTION("""COMPUTED_VALUE"""),"Normale")</f>
        <v>Normale</v>
      </c>
      <c r="I104" s="10" t="str">
        <f>IFERROR(__xludf.DUMMYFUNCTION("""COMPUTED_VALUE"""),"Oui")</f>
        <v>Oui</v>
      </c>
      <c r="J104" s="10" t="str">
        <f>IFERROR(__xludf.DUMMYFUNCTION("""COMPUTED_VALUE"""),"-")</f>
        <v>-</v>
      </c>
      <c r="K104" s="10" t="str">
        <f>IFERROR(__xludf.DUMMYFUNCTION("""COMPUTED_VALUE"""),"-")</f>
        <v>-</v>
      </c>
      <c r="L104" s="10" t="str">
        <f>IFERROR(__xludf.DUMMYFUNCTION("""COMPUTED_VALUE"""),"105 ±35")</f>
        <v>105 ±35</v>
      </c>
      <c r="M104" s="10" t="str">
        <f>IFERROR(__xludf.DUMMYFUNCTION("""COMPUTED_VALUE"""),"6 ±3")</f>
        <v>6 ±3</v>
      </c>
      <c r="N104" s="10" t="str">
        <f>IFERROR(__xludf.DUMMYFUNCTION("""COMPUTED_VALUE"""),"6 ±3")</f>
        <v>6 ±3</v>
      </c>
      <c r="O104" s="10" t="str">
        <f>IFERROR(__xludf.DUMMYFUNCTION("""COMPUTED_VALUE"""),"6 ±3")</f>
        <v>6 ±3</v>
      </c>
      <c r="P104" s="10" t="str">
        <f>IFERROR(__xludf.DUMMYFUNCTION("""COMPUTED_VALUE"""),"4 ±2")</f>
        <v>4 ±2</v>
      </c>
      <c r="Q104" s="10" t="str">
        <f>IFERROR(__xludf.DUMMYFUNCTION("""COMPUTED_VALUE"""),"2 ±1")</f>
        <v>2 ±1</v>
      </c>
      <c r="R104" s="10" t="str">
        <f>IFERROR(__xludf.DUMMYFUNCTION("""COMPUTED_VALUE"""),"6 ±3")</f>
        <v>6 ±3</v>
      </c>
      <c r="S104" s="10" t="str">
        <f>IFERROR(__xludf.DUMMYFUNCTION("""COMPUTED_VALUE"""),"")</f>
        <v/>
      </c>
      <c r="T104" s="10" t="str">
        <f>IFERROR(__xludf.DUMMYFUNCTION("""COMPUTED_VALUE"""),"500 ±300")</f>
        <v>500 ±300</v>
      </c>
      <c r="U104" s="10" t="str">
        <f>IFERROR(__xludf.DUMMYFUNCTION("""COMPUTED_VALUE"""),"300 ±200")</f>
        <v>300 ±200</v>
      </c>
      <c r="V104" s="10" t="str">
        <f>IFERROR(__xludf.DUMMYFUNCTION("""COMPUTED_VALUE"""),"9 ±3")</f>
        <v>9 ±3</v>
      </c>
      <c r="W104" s="10">
        <f>IFERROR(__xludf.DUMMYFUNCTION("""COMPUTED_VALUE"""),47.0)</f>
        <v>47</v>
      </c>
      <c r="X104" s="10" t="str">
        <f>IFERROR(__xludf.DUMMYFUNCTION("""COMPUTED_VALUE"""),"")</f>
        <v/>
      </c>
      <c r="Y104" s="10"/>
      <c r="Z104" s="10"/>
      <c r="AA104" s="10"/>
      <c r="AB104" s="10"/>
      <c r="AC104" s="10"/>
      <c r="AD104" s="10"/>
      <c r="AE104" s="10"/>
      <c r="AF104" s="10"/>
      <c r="AG104" s="10"/>
      <c r="AH104" s="10"/>
    </row>
    <row r="105">
      <c r="A105" s="10">
        <f>IFERROR(__xludf.DUMMYFUNCTION("""COMPUTED_VALUE"""),87.0)</f>
        <v>87</v>
      </c>
      <c r="B105" s="10" t="str">
        <f>IFERROR(__xludf.DUMMYFUNCTION("""COMPUTED_VALUE"""),"Kobold")</f>
        <v>Kobold</v>
      </c>
      <c r="C105" s="10" t="str">
        <f>IFERROR(__xludf.DUMMYFUNCTION("""COMPUTED_VALUE"""),"Humanoïde")</f>
        <v>Humanoïde</v>
      </c>
      <c r="D105" s="10">
        <f>IFERROR(__xludf.DUMMYFUNCTION("""COMPUTED_VALUE"""),2.0)</f>
        <v>2</v>
      </c>
      <c r="E105" s="10">
        <f>IFERROR(__xludf.DUMMYFUNCTION("""COMPUTED_VALUE"""),1.0)</f>
        <v>1</v>
      </c>
      <c r="F105" s="10" t="str">
        <f>IFERROR(__xludf.DUMMYFUNCTION("""COMPUTED_VALUE"""),"Non")</f>
        <v>Non</v>
      </c>
      <c r="G105" s="10" t="str">
        <f>IFERROR(__xludf.DUMMYFUNCTION("""COMPUTED_VALUE"""),"Non")</f>
        <v>Non</v>
      </c>
      <c r="H105" s="10" t="str">
        <f>IFERROR(__xludf.DUMMYFUNCTION("""COMPUTED_VALUE"""),"Normale")</f>
        <v>Normale</v>
      </c>
      <c r="I105" s="10" t="str">
        <f>IFERROR(__xludf.DUMMYFUNCTION("""COMPUTED_VALUE"""),"Non")</f>
        <v>Non</v>
      </c>
      <c r="J105" s="10" t="str">
        <f>IFERROR(__xludf.DUMMYFUNCTION("""COMPUTED_VALUE"""),"-")</f>
        <v>-</v>
      </c>
      <c r="K105" s="10" t="str">
        <f>IFERROR(__xludf.DUMMYFUNCTION("""COMPUTED_VALUE"""),"-")</f>
        <v>-</v>
      </c>
      <c r="L105" s="10" t="str">
        <f>IFERROR(__xludf.DUMMYFUNCTION("""COMPUTED_VALUE"""),"20 ±25")</f>
        <v>20 ±25</v>
      </c>
      <c r="M105" s="10" t="str">
        <f>IFERROR(__xludf.DUMMYFUNCTION("""COMPUTED_VALUE"""),"2 ±2")</f>
        <v>2 ±2</v>
      </c>
      <c r="N105" s="10" t="str">
        <f>IFERROR(__xludf.DUMMYFUNCTION("""COMPUTED_VALUE"""),"5 ±3")</f>
        <v>5 ±3</v>
      </c>
      <c r="O105" s="10" t="str">
        <f>IFERROR(__xludf.DUMMYFUNCTION("""COMPUTED_VALUE"""),"1 ±2")</f>
        <v>1 ±2</v>
      </c>
      <c r="P105" s="10" t="str">
        <f>IFERROR(__xludf.DUMMYFUNCTION("""COMPUTED_VALUE"""),"4 ±3")</f>
        <v>4 ±3</v>
      </c>
      <c r="Q105" s="10" t="str">
        <f>IFERROR(__xludf.DUMMYFUNCTION("""COMPUTED_VALUE"""),"1 ±1")</f>
        <v>1 ±1</v>
      </c>
      <c r="R105" s="10" t="str">
        <f>IFERROR(__xludf.DUMMYFUNCTION("""COMPUTED_VALUE"""),"2 ±2")</f>
        <v>2 ±2</v>
      </c>
      <c r="S105" s="10" t="str">
        <f>IFERROR(__xludf.DUMMYFUNCTION("""COMPUTED_VALUE"""),"")</f>
        <v/>
      </c>
      <c r="T105" s="10" t="str">
        <f>IFERROR(__xludf.DUMMYFUNCTION("""COMPUTED_VALUE"""),"100 ±100")</f>
        <v>100 ±100</v>
      </c>
      <c r="U105" s="10" t="str">
        <f>IFERROR(__xludf.DUMMYFUNCTION("""COMPUTED_VALUE"""),"100 ±100")</f>
        <v>100 ±100</v>
      </c>
      <c r="V105" s="10" t="str">
        <f>IFERROR(__xludf.DUMMYFUNCTION("""COMPUTED_VALUE"""),"11 ±4")</f>
        <v>11 ±4</v>
      </c>
      <c r="W105" s="10">
        <f>IFERROR(__xludf.DUMMYFUNCTION("""COMPUTED_VALUE"""),46.0)</f>
        <v>46</v>
      </c>
      <c r="X105" s="10" t="str">
        <f>IFERROR(__xludf.DUMMYFUNCTION("""COMPUTED_VALUE"""),"")</f>
        <v/>
      </c>
      <c r="Y105" s="10"/>
      <c r="Z105" s="10"/>
      <c r="AA105" s="10"/>
      <c r="AB105" s="10"/>
      <c r="AC105" s="10"/>
      <c r="AD105" s="10"/>
      <c r="AE105" s="10"/>
      <c r="AF105" s="10"/>
      <c r="AG105" s="10"/>
      <c r="AH105" s="10"/>
    </row>
    <row r="106">
      <c r="A106" s="10" t="str">
        <f>IFERROR(__xludf.DUMMYFUNCTION("""COMPUTED_VALUE"""),"*Id*")</f>
        <v>*Id*</v>
      </c>
      <c r="B106" s="10" t="str">
        <f>IFERROR(__xludf.DUMMYFUNCTION("""COMPUTED_VALUE"""),"*Nom*")</f>
        <v>*Nom*</v>
      </c>
      <c r="C106" s="10" t="str">
        <f>IFERROR(__xludf.DUMMYFUNCTION("""COMPUTED_VALUE"""),"*Famille*")</f>
        <v>*Famille*</v>
      </c>
      <c r="D106" s="10" t="str">
        <f>IFERROR(__xludf.DUMMYFUNCTION("""COMPUTED_VALUE"""),"*Niv*")</f>
        <v>*Niv*</v>
      </c>
      <c r="E106" s="10" t="str">
        <f>IFERROR(__xludf.DUMMYFUNCTION("""COMPUTED_VALUE"""),"*Nb att*")</f>
        <v>*Nb att*</v>
      </c>
      <c r="F106" s="10" t="str">
        <f>IFERROR(__xludf.DUMMYFUNCTION("""COMPUTED_VALUE"""),"*Att mag*")</f>
        <v>*Att mag*</v>
      </c>
      <c r="G106" s="10" t="str">
        <f>IFERROR(__xludf.DUMMYFUNCTION("""COMPUTED_VALUE"""),"*Att dist*")</f>
        <v>*Att dist*</v>
      </c>
      <c r="H106" s="10" t="str">
        <f>IFERROR(__xludf.DUMMYFUNCTION("""COMPUTED_VALUE"""),"*Vit*")</f>
        <v>*Vit*</v>
      </c>
      <c r="I106" s="10" t="str">
        <f>IFERROR(__xludf.DUMMYFUNCTION("""COMPUTED_VALUE"""),"*VlC*")</f>
        <v>*VlC*</v>
      </c>
      <c r="J106" s="10" t="str">
        <f>IFERROR(__xludf.DUMMYFUNCTION("""COMPUTED_VALUE"""),"*Pouvoir 1*")</f>
        <v>*Pouvoir 1*</v>
      </c>
      <c r="K106" s="10" t="str">
        <f>IFERROR(__xludf.DUMMYFUNCTION("""COMPUTED_VALUE"""),"*Pouvoir 2*")</f>
        <v>*Pouvoir 2*</v>
      </c>
      <c r="L106" s="10" t="str">
        <f>IFERROR(__xludf.DUMMYFUNCTION("""COMPUTED_VALUE"""),"*PV*")</f>
        <v>*PV*</v>
      </c>
      <c r="M106" s="10" t="str">
        <f>IFERROR(__xludf.DUMMYFUNCTION("""COMPUTED_VALUE"""),"*Att*")</f>
        <v>*Att*</v>
      </c>
      <c r="N106" s="10" t="str">
        <f>IFERROR(__xludf.DUMMYFUNCTION("""COMPUTED_VALUE"""),"*Esq*")</f>
        <v>*Esq*</v>
      </c>
      <c r="O106" s="10" t="str">
        <f>IFERROR(__xludf.DUMMYFUNCTION("""COMPUTED_VALUE"""),"*Dégât*")</f>
        <v>*Dégât*</v>
      </c>
      <c r="P106" s="10" t="str">
        <f>IFERROR(__xludf.DUMMYFUNCTION("""COMPUTED_VALUE"""),"*Vue*")</f>
        <v>*Vue*</v>
      </c>
      <c r="Q106" s="10" t="str">
        <f>IFERROR(__xludf.DUMMYFUNCTION("""COMPUTED_VALUE"""),"*Régen*")</f>
        <v>*Régen*</v>
      </c>
      <c r="R106" s="10" t="str">
        <f>IFERROR(__xludf.DUMMYFUNCTION("""COMPUTED_VALUE"""),"*Arm phy*")</f>
        <v>*Arm phy*</v>
      </c>
      <c r="S106" s="10" t="str">
        <f>IFERROR(__xludf.DUMMYFUNCTION("""COMPUTED_VALUE"""),"*Arm mag*")</f>
        <v>*Arm mag*</v>
      </c>
      <c r="T106" s="10" t="str">
        <f>IFERROR(__xludf.DUMMYFUNCTION("""COMPUTED_VALUE"""),"*MM*")</f>
        <v>*MM*</v>
      </c>
      <c r="U106" s="10" t="str">
        <f>IFERROR(__xludf.DUMMYFUNCTION("""COMPUTED_VALUE"""),"*RM*")</f>
        <v>*RM*</v>
      </c>
      <c r="V106" s="10" t="str">
        <f>IFERROR(__xludf.DUMMYFUNCTION("""COMPUTED_VALUE"""),"*DLA*")</f>
        <v>*DLA*</v>
      </c>
      <c r="W106" s="10" t="str">
        <f>IFERROR(__xludf.DUMMYFUNCTION("""COMPUTED_VALUE"""),"*Echant*")</f>
        <v>*Echant*</v>
      </c>
      <c r="X106" s="10" t="str">
        <f>IFERROR(__xludf.DUMMYFUNCTION("""COMPUTED_VALUE"""),"*Vole*")</f>
        <v>*Vole*</v>
      </c>
      <c r="Y106" s="10"/>
      <c r="Z106" s="10"/>
      <c r="AA106" s="10"/>
      <c r="AB106" s="10"/>
      <c r="AC106" s="10"/>
      <c r="AD106" s="10"/>
      <c r="AE106" s="10"/>
      <c r="AF106" s="10"/>
      <c r="AG106" s="10"/>
      <c r="AH106" s="10"/>
    </row>
    <row r="107">
      <c r="A107" s="10">
        <f>IFERROR(__xludf.DUMMYFUNCTION("""COMPUTED_VALUE"""),223.0)</f>
        <v>223</v>
      </c>
      <c r="B107" s="10" t="str">
        <f>IFERROR(__xludf.DUMMYFUNCTION("""COMPUTED_VALUE"""),"Labeilleux")</f>
        <v>Labeilleux</v>
      </c>
      <c r="C107" s="10" t="str">
        <f>IFERROR(__xludf.DUMMYFUNCTION("""COMPUTED_VALUE"""),"Insecte")</f>
        <v>Insecte</v>
      </c>
      <c r="D107" s="10">
        <f>IFERROR(__xludf.DUMMYFUNCTION("""COMPUTED_VALUE"""),26.0)</f>
        <v>26</v>
      </c>
      <c r="E107" s="10">
        <f>IFERROR(__xludf.DUMMYFUNCTION("""COMPUTED_VALUE"""),1.0)</f>
        <v>1</v>
      </c>
      <c r="F107" s="10" t="str">
        <f>IFERROR(__xludf.DUMMYFUNCTION("""COMPUTED_VALUE"""),"")</f>
        <v/>
      </c>
      <c r="G107" s="10" t="str">
        <f>IFERROR(__xludf.DUMMYFUNCTION("""COMPUTED_VALUE"""),"Non")</f>
        <v>Non</v>
      </c>
      <c r="H107" s="10" t="str">
        <f>IFERROR(__xludf.DUMMYFUNCTION("""COMPUTED_VALUE"""),"Normale")</f>
        <v>Normale</v>
      </c>
      <c r="I107" s="10" t="str">
        <f>IFERROR(__xludf.DUMMYFUNCTION("""COMPUTED_VALUE"""),"Non")</f>
        <v>Non</v>
      </c>
      <c r="J107" s="10" t="str">
        <f>IFERROR(__xludf.DUMMYFUNCTION("""COMPUTED_VALUE"""),"Venin - Toucher")</f>
        <v>Venin - Toucher</v>
      </c>
      <c r="K107" s="10" t="str">
        <f>IFERROR(__xludf.DUMMYFUNCTION("""COMPUTED_VALUE"""),"Lévitation Mort : Appel Pititabeilles")</f>
        <v>Lévitation Mort : Appel Pititabeilles</v>
      </c>
      <c r="L107" s="10" t="str">
        <f>IFERROR(__xludf.DUMMYFUNCTION("""COMPUTED_VALUE"""),"120 ±40")</f>
        <v>120 ±40</v>
      </c>
      <c r="M107" s="10" t="str">
        <f>IFERROR(__xludf.DUMMYFUNCTION("""COMPUTED_VALUE"""),"15 ±4")</f>
        <v>15 ±4</v>
      </c>
      <c r="N107" s="10" t="str">
        <f>IFERROR(__xludf.DUMMYFUNCTION("""COMPUTED_VALUE"""),"13 ±4")</f>
        <v>13 ±4</v>
      </c>
      <c r="O107" s="10" t="str">
        <f>IFERROR(__xludf.DUMMYFUNCTION("""COMPUTED_VALUE"""),"10 ±3")</f>
        <v>10 ±3</v>
      </c>
      <c r="P107" s="10" t="str">
        <f>IFERROR(__xludf.DUMMYFUNCTION("""COMPUTED_VALUE"""),"4 ±3")</f>
        <v>4 ±3</v>
      </c>
      <c r="Q107" s="10" t="str">
        <f>IFERROR(__xludf.DUMMYFUNCTION("""COMPUTED_VALUE"""),"5 ±2")</f>
        <v>5 ±2</v>
      </c>
      <c r="R107" s="10" t="str">
        <f>IFERROR(__xludf.DUMMYFUNCTION("""COMPUTED_VALUE"""),"10 ±3")</f>
        <v>10 ±3</v>
      </c>
      <c r="S107" s="10" t="str">
        <f>IFERROR(__xludf.DUMMYFUNCTION("""COMPUTED_VALUE"""),"")</f>
        <v/>
      </c>
      <c r="T107" s="10" t="str">
        <f>IFERROR(__xludf.DUMMYFUNCTION("""COMPUTED_VALUE"""),"1500 ±500")</f>
        <v>1500 ±500</v>
      </c>
      <c r="U107" s="10" t="str">
        <f>IFERROR(__xludf.DUMMYFUNCTION("""COMPUTED_VALUE"""),"1500 ±400")</f>
        <v>1500 ±400</v>
      </c>
      <c r="V107" s="10" t="str">
        <f>IFERROR(__xludf.DUMMYFUNCTION("""COMPUTED_VALUE"""),"11 ±3")</f>
        <v>11 ±3</v>
      </c>
      <c r="W107" s="10">
        <f>IFERROR(__xludf.DUMMYFUNCTION("""COMPUTED_VALUE"""),20.0)</f>
        <v>20</v>
      </c>
      <c r="X107" s="10" t="str">
        <f>IFERROR(__xludf.DUMMYFUNCTION("""COMPUTED_VALUE"""),"")</f>
        <v/>
      </c>
      <c r="Y107" s="10"/>
      <c r="Z107" s="10"/>
      <c r="AA107" s="10"/>
      <c r="AB107" s="10"/>
      <c r="AC107" s="10"/>
      <c r="AD107" s="10"/>
      <c r="AE107" s="10"/>
      <c r="AF107" s="10"/>
      <c r="AG107" s="10"/>
      <c r="AH107" s="10"/>
    </row>
    <row r="108">
      <c r="A108" s="10">
        <f>IFERROR(__xludf.DUMMYFUNCTION("""COMPUTED_VALUE"""),16.0)</f>
        <v>16</v>
      </c>
      <c r="B108" s="10" t="str">
        <f>IFERROR(__xludf.DUMMYFUNCTION("""COMPUTED_VALUE"""),"Lezard Geant")</f>
        <v>Lezard Geant</v>
      </c>
      <c r="C108" s="10" t="str">
        <f>IFERROR(__xludf.DUMMYFUNCTION("""COMPUTED_VALUE"""),"Monstre")</f>
        <v>Monstre</v>
      </c>
      <c r="D108" s="10">
        <f>IFERROR(__xludf.DUMMYFUNCTION("""COMPUTED_VALUE"""),5.0)</f>
        <v>5</v>
      </c>
      <c r="E108" s="10">
        <f>IFERROR(__xludf.DUMMYFUNCTION("""COMPUTED_VALUE"""),1.0)</f>
        <v>1</v>
      </c>
      <c r="F108" s="10" t="str">
        <f>IFERROR(__xludf.DUMMYFUNCTION("""COMPUTED_VALUE"""),"")</f>
        <v/>
      </c>
      <c r="G108" s="10" t="str">
        <f>IFERROR(__xludf.DUMMYFUNCTION("""COMPUTED_VALUE"""),"Non")</f>
        <v>Non</v>
      </c>
      <c r="H108" s="10" t="str">
        <f>IFERROR(__xludf.DUMMYFUNCTION("""COMPUTED_VALUE"""),"Normale")</f>
        <v>Normale</v>
      </c>
      <c r="I108" s="10" t="str">
        <f>IFERROR(__xludf.DUMMYFUNCTION("""COMPUTED_VALUE"""),"Non")</f>
        <v>Non</v>
      </c>
      <c r="J108" s="10" t="str">
        <f>IFERROR(__xludf.DUMMYFUNCTION("""COMPUTED_VALUE"""),"-")</f>
        <v>-</v>
      </c>
      <c r="K108" s="10" t="str">
        <f>IFERROR(__xludf.DUMMYFUNCTION("""COMPUTED_VALUE"""),"-")</f>
        <v>-</v>
      </c>
      <c r="L108" s="10" t="str">
        <f>IFERROR(__xludf.DUMMYFUNCTION("""COMPUTED_VALUE"""),"30 ±25")</f>
        <v>30 ±25</v>
      </c>
      <c r="M108" s="10" t="str">
        <f>IFERROR(__xludf.DUMMYFUNCTION("""COMPUTED_VALUE"""),"6 ±3")</f>
        <v>6 ±3</v>
      </c>
      <c r="N108" s="10" t="str">
        <f>IFERROR(__xludf.DUMMYFUNCTION("""COMPUTED_VALUE"""),"6 ±3")</f>
        <v>6 ±3</v>
      </c>
      <c r="O108" s="10" t="str">
        <f>IFERROR(__xludf.DUMMYFUNCTION("""COMPUTED_VALUE"""),"3 ±2")</f>
        <v>3 ±2</v>
      </c>
      <c r="P108" s="10" t="str">
        <f>IFERROR(__xludf.DUMMYFUNCTION("""COMPUTED_VALUE"""),"4 ±3")</f>
        <v>4 ±3</v>
      </c>
      <c r="Q108" s="10" t="str">
        <f>IFERROR(__xludf.DUMMYFUNCTION("""COMPUTED_VALUE"""),"3 ±1")</f>
        <v>3 ±1</v>
      </c>
      <c r="R108" s="10" t="str">
        <f>IFERROR(__xludf.DUMMYFUNCTION("""COMPUTED_VALUE"""),"3 ±2")</f>
        <v>3 ±2</v>
      </c>
      <c r="S108" s="10" t="str">
        <f>IFERROR(__xludf.DUMMYFUNCTION("""COMPUTED_VALUE"""),"")</f>
        <v/>
      </c>
      <c r="T108" s="10" t="str">
        <f>IFERROR(__xludf.DUMMYFUNCTION("""COMPUTED_VALUE"""),"100 ±200")</f>
        <v>100 ±200</v>
      </c>
      <c r="U108" s="10" t="str">
        <f>IFERROR(__xludf.DUMMYFUNCTION("""COMPUTED_VALUE"""),"100 ±200")</f>
        <v>100 ±200</v>
      </c>
      <c r="V108" s="10" t="str">
        <f>IFERROR(__xludf.DUMMYFUNCTION("""COMPUTED_VALUE"""),"12 ±5")</f>
        <v>12 ±5</v>
      </c>
      <c r="W108" s="10">
        <f>IFERROR(__xludf.DUMMYFUNCTION("""COMPUTED_VALUE"""),26.0)</f>
        <v>26</v>
      </c>
      <c r="X108" s="10" t="str">
        <f>IFERROR(__xludf.DUMMYFUNCTION("""COMPUTED_VALUE"""),"")</f>
        <v/>
      </c>
      <c r="Y108" s="10"/>
      <c r="Z108" s="10"/>
      <c r="AA108" s="10"/>
      <c r="AB108" s="10"/>
      <c r="AC108" s="10"/>
      <c r="AD108" s="10"/>
      <c r="AE108" s="10"/>
      <c r="AF108" s="10"/>
      <c r="AG108" s="10"/>
      <c r="AH108" s="10"/>
    </row>
    <row r="109">
      <c r="A109" s="10" t="str">
        <f>IFERROR(__xludf.DUMMYFUNCTION("""COMPUTED_VALUE"""),"")</f>
        <v/>
      </c>
      <c r="B109" s="10" t="str">
        <f>IFERROR(__xludf.DUMMYFUNCTION("""COMPUTED_VALUE"""),"Liche")</f>
        <v>Liche</v>
      </c>
      <c r="C109" s="10" t="str">
        <f>IFERROR(__xludf.DUMMYFUNCTION("""COMPUTED_VALUE"""),"Mort-Vivant")</f>
        <v>Mort-Vivant</v>
      </c>
      <c r="D109" s="10">
        <f>IFERROR(__xludf.DUMMYFUNCTION("""COMPUTED_VALUE"""),50.0)</f>
        <v>50</v>
      </c>
      <c r="E109" s="10" t="str">
        <f>IFERROR(__xludf.DUMMYFUNCTION("""COMPUTED_VALUE"""),"")</f>
        <v/>
      </c>
      <c r="F109" s="10" t="str">
        <f>IFERROR(__xludf.DUMMYFUNCTION("""COMPUTED_VALUE"""),"")</f>
        <v/>
      </c>
      <c r="G109" s="10" t="str">
        <f>IFERROR(__xludf.DUMMYFUNCTION("""COMPUTED_VALUE"""),"Oui")</f>
        <v>Oui</v>
      </c>
      <c r="H109" s="10" t="str">
        <f>IFERROR(__xludf.DUMMYFUNCTION("""COMPUTED_VALUE"""),"")</f>
        <v/>
      </c>
      <c r="I109" s="10" t="str">
        <f>IFERROR(__xludf.DUMMYFUNCTION("""COMPUTED_VALUE"""),"Oui")</f>
        <v>Oui</v>
      </c>
      <c r="J109" s="10" t="str">
        <f>IFERROR(__xludf.DUMMYFUNCTION("""COMPUTED_VALUE"""),"*Monstre Mythique*")</f>
        <v>*Monstre Mythique*</v>
      </c>
      <c r="K109" s="10" t="str">
        <f>IFERROR(__xludf.DUMMYFUNCTION("""COMPUTED_VALUE"""),"")</f>
        <v/>
      </c>
      <c r="L109" s="10" t="str">
        <f>IFERROR(__xludf.DUMMYFUNCTION("""COMPUTED_VALUE"""),"")</f>
        <v/>
      </c>
      <c r="M109" s="10" t="str">
        <f>IFERROR(__xludf.DUMMYFUNCTION("""COMPUTED_VALUE"""),"")</f>
        <v/>
      </c>
      <c r="N109" s="10" t="str">
        <f>IFERROR(__xludf.DUMMYFUNCTION("""COMPUTED_VALUE"""),"")</f>
        <v/>
      </c>
      <c r="O109" s="10" t="str">
        <f>IFERROR(__xludf.DUMMYFUNCTION("""COMPUTED_VALUE"""),"")</f>
        <v/>
      </c>
      <c r="P109" s="10" t="str">
        <f>IFERROR(__xludf.DUMMYFUNCTION("""COMPUTED_VALUE"""),"")</f>
        <v/>
      </c>
      <c r="Q109" s="10" t="str">
        <f>IFERROR(__xludf.DUMMYFUNCTION("""COMPUTED_VALUE"""),"")</f>
        <v/>
      </c>
      <c r="R109" s="10" t="str">
        <f>IFERROR(__xludf.DUMMYFUNCTION("""COMPUTED_VALUE"""),"")</f>
        <v/>
      </c>
      <c r="S109" s="10" t="str">
        <f>IFERROR(__xludf.DUMMYFUNCTION("""COMPUTED_VALUE"""),"")</f>
        <v/>
      </c>
      <c r="T109" s="10" t="str">
        <f>IFERROR(__xludf.DUMMYFUNCTION("""COMPUTED_VALUE"""),"")</f>
        <v/>
      </c>
      <c r="U109" s="10" t="str">
        <f>IFERROR(__xludf.DUMMYFUNCTION("""COMPUTED_VALUE"""),"")</f>
        <v/>
      </c>
      <c r="V109" s="10" t="str">
        <f>IFERROR(__xludf.DUMMYFUNCTION("""COMPUTED_VALUE"""),"")</f>
        <v/>
      </c>
      <c r="W109" s="10" t="str">
        <f>IFERROR(__xludf.DUMMYFUNCTION("""COMPUTED_VALUE"""),"")</f>
        <v/>
      </c>
      <c r="X109" s="10" t="str">
        <f>IFERROR(__xludf.DUMMYFUNCTION("""COMPUTED_VALUE"""),"")</f>
        <v/>
      </c>
      <c r="Y109" s="10"/>
      <c r="Z109" s="10"/>
      <c r="AA109" s="10"/>
      <c r="AB109" s="10"/>
      <c r="AC109" s="10"/>
      <c r="AD109" s="10"/>
      <c r="AE109" s="10"/>
      <c r="AF109" s="10"/>
      <c r="AG109" s="10"/>
      <c r="AH109" s="10"/>
    </row>
    <row r="110">
      <c r="A110" s="10">
        <f>IFERROR(__xludf.DUMMYFUNCTION("""COMPUTED_VALUE"""),125.0)</f>
        <v>125</v>
      </c>
      <c r="B110" s="10" t="str">
        <f>IFERROR(__xludf.DUMMYFUNCTION("""COMPUTED_VALUE"""),"Limace Geante")</f>
        <v>Limace Geante</v>
      </c>
      <c r="C110" s="10" t="str">
        <f>IFERROR(__xludf.DUMMYFUNCTION("""COMPUTED_VALUE"""),"Insecte")</f>
        <v>Insecte</v>
      </c>
      <c r="D110" s="10">
        <f>IFERROR(__xludf.DUMMYFUNCTION("""COMPUTED_VALUE"""),10.0)</f>
        <v>10</v>
      </c>
      <c r="E110" s="10">
        <f>IFERROR(__xludf.DUMMYFUNCTION("""COMPUTED_VALUE"""),1.0)</f>
        <v>1</v>
      </c>
      <c r="F110" s="10" t="str">
        <f>IFERROR(__xludf.DUMMYFUNCTION("""COMPUTED_VALUE"""),"")</f>
        <v/>
      </c>
      <c r="G110" s="10" t="str">
        <f>IFERROR(__xludf.DUMMYFUNCTION("""COMPUTED_VALUE"""),"Oui")</f>
        <v>Oui</v>
      </c>
      <c r="H110" s="10" t="str">
        <f>IFERROR(__xludf.DUMMYFUNCTION("""COMPUTED_VALUE"""),"Normale")</f>
        <v>Normale</v>
      </c>
      <c r="I110" s="10" t="str">
        <f>IFERROR(__xludf.DUMMYFUNCTION("""COMPUTED_VALUE"""),"Non")</f>
        <v>Non</v>
      </c>
      <c r="J110" s="10" t="str">
        <f>IFERROR(__xludf.DUMMYFUNCTION("""COMPUTED_VALUE"""),"Attaque gluante - Zone")</f>
        <v>Attaque gluante - Zone</v>
      </c>
      <c r="K110" s="10" t="str">
        <f>IFERROR(__xludf.DUMMYFUNCTION("""COMPUTED_VALUE"""),"-")</f>
        <v>-</v>
      </c>
      <c r="L110" s="10" t="str">
        <f>IFERROR(__xludf.DUMMYFUNCTION("""COMPUTED_VALUE"""),"85 ±30")</f>
        <v>85 ±30</v>
      </c>
      <c r="M110" s="10" t="str">
        <f>IFERROR(__xludf.DUMMYFUNCTION("""COMPUTED_VALUE"""),"10 ±3")</f>
        <v>10 ±3</v>
      </c>
      <c r="N110" s="10" t="str">
        <f>IFERROR(__xludf.DUMMYFUNCTION("""COMPUTED_VALUE"""),"2 ±2")</f>
        <v>2 ±2</v>
      </c>
      <c r="O110" s="10" t="str">
        <f>IFERROR(__xludf.DUMMYFUNCTION("""COMPUTED_VALUE"""),"4 ±2")</f>
        <v>4 ±2</v>
      </c>
      <c r="P110" s="10" t="str">
        <f>IFERROR(__xludf.DUMMYFUNCTION("""COMPUTED_VALUE"""),"3 ±2")</f>
        <v>3 ±2</v>
      </c>
      <c r="Q110" s="10" t="str">
        <f>IFERROR(__xludf.DUMMYFUNCTION("""COMPUTED_VALUE"""),"1 ±1")</f>
        <v>1 ±1</v>
      </c>
      <c r="R110" s="10" t="str">
        <f>IFERROR(__xludf.DUMMYFUNCTION("""COMPUTED_VALUE"""),"1 ±2")</f>
        <v>1 ±2</v>
      </c>
      <c r="S110" s="10" t="str">
        <f>IFERROR(__xludf.DUMMYFUNCTION("""COMPUTED_VALUE"""),"")</f>
        <v/>
      </c>
      <c r="T110" s="10" t="str">
        <f>IFERROR(__xludf.DUMMYFUNCTION("""COMPUTED_VALUE"""),"200 ±200")</f>
        <v>200 ±200</v>
      </c>
      <c r="U110" s="10" t="str">
        <f>IFERROR(__xludf.DUMMYFUNCTION("""COMPUTED_VALUE"""),"100 ±100")</f>
        <v>100 ±100</v>
      </c>
      <c r="V110" s="10" t="str">
        <f>IFERROR(__xludf.DUMMYFUNCTION("""COMPUTED_VALUE"""),"11 ±4")</f>
        <v>11 ±4</v>
      </c>
      <c r="W110" s="10">
        <f>IFERROR(__xludf.DUMMYFUNCTION("""COMPUTED_VALUE"""),42.0)</f>
        <v>42</v>
      </c>
      <c r="X110" s="10" t="str">
        <f>IFERROR(__xludf.DUMMYFUNCTION("""COMPUTED_VALUE"""),"")</f>
        <v/>
      </c>
      <c r="Y110" s="10"/>
      <c r="Z110" s="10"/>
      <c r="AA110" s="10"/>
      <c r="AB110" s="10"/>
      <c r="AC110" s="10"/>
      <c r="AD110" s="10"/>
      <c r="AE110" s="10"/>
      <c r="AF110" s="10"/>
      <c r="AG110" s="10"/>
      <c r="AH110" s="10"/>
    </row>
    <row r="111">
      <c r="A111" s="10">
        <f>IFERROR(__xludf.DUMMYFUNCTION("""COMPUTED_VALUE"""),46.0)</f>
        <v>46</v>
      </c>
      <c r="B111" s="10" t="str">
        <f>IFERROR(__xludf.DUMMYFUNCTION("""COMPUTED_VALUE"""),"Loup-Garou")</f>
        <v>Loup-Garou</v>
      </c>
      <c r="C111" s="10" t="str">
        <f>IFERROR(__xludf.DUMMYFUNCTION("""COMPUTED_VALUE"""),"Humanoïde")</f>
        <v>Humanoïde</v>
      </c>
      <c r="D111" s="10">
        <f>IFERROR(__xludf.DUMMYFUNCTION("""COMPUTED_VALUE"""),8.0)</f>
        <v>8</v>
      </c>
      <c r="E111" s="10">
        <f>IFERROR(__xludf.DUMMYFUNCTION("""COMPUTED_VALUE"""),1.0)</f>
        <v>1</v>
      </c>
      <c r="F111" s="10" t="str">
        <f>IFERROR(__xludf.DUMMYFUNCTION("""COMPUTED_VALUE"""),"")</f>
        <v/>
      </c>
      <c r="G111" s="10" t="str">
        <f>IFERROR(__xludf.DUMMYFUNCTION("""COMPUTED_VALUE"""),"Non")</f>
        <v>Non</v>
      </c>
      <c r="H111" s="10" t="str">
        <f>IFERROR(__xludf.DUMMYFUNCTION("""COMPUTED_VALUE"""),"Normale")</f>
        <v>Normale</v>
      </c>
      <c r="I111" s="10" t="str">
        <f>IFERROR(__xludf.DUMMYFUNCTION("""COMPUTED_VALUE"""),"Non")</f>
        <v>Non</v>
      </c>
      <c r="J111" s="10" t="str">
        <f>IFERROR(__xludf.DUMMYFUNCTION("""COMPUTED_VALUE"""),"-")</f>
        <v>-</v>
      </c>
      <c r="K111" s="10" t="str">
        <f>IFERROR(__xludf.DUMMYFUNCTION("""COMPUTED_VALUE"""),"-")</f>
        <v>-</v>
      </c>
      <c r="L111" s="10" t="str">
        <f>IFERROR(__xludf.DUMMYFUNCTION("""COMPUTED_VALUE"""),"80 ±30")</f>
        <v>80 ±30</v>
      </c>
      <c r="M111" s="10" t="str">
        <f>IFERROR(__xludf.DUMMYFUNCTION("""COMPUTED_VALUE"""),"6 ±3")</f>
        <v>6 ±3</v>
      </c>
      <c r="N111" s="10" t="str">
        <f>IFERROR(__xludf.DUMMYFUNCTION("""COMPUTED_VALUE"""),"3 ±2")</f>
        <v>3 ±2</v>
      </c>
      <c r="O111" s="10" t="str">
        <f>IFERROR(__xludf.DUMMYFUNCTION("""COMPUTED_VALUE"""),"4 ±3")</f>
        <v>4 ±3</v>
      </c>
      <c r="P111" s="10" t="str">
        <f>IFERROR(__xludf.DUMMYFUNCTION("""COMPUTED_VALUE"""),"3 ±2")</f>
        <v>3 ±2</v>
      </c>
      <c r="Q111" s="10" t="str">
        <f>IFERROR(__xludf.DUMMYFUNCTION("""COMPUTED_VALUE"""),"4 ±1")</f>
        <v>4 ±1</v>
      </c>
      <c r="R111" s="10" t="str">
        <f>IFERROR(__xludf.DUMMYFUNCTION("""COMPUTED_VALUE"""),"4 ±3")</f>
        <v>4 ±3</v>
      </c>
      <c r="S111" s="10" t="str">
        <f>IFERROR(__xludf.DUMMYFUNCTION("""COMPUTED_VALUE"""),"")</f>
        <v/>
      </c>
      <c r="T111" s="10" t="str">
        <f>IFERROR(__xludf.DUMMYFUNCTION("""COMPUTED_VALUE"""),"300 ±200")</f>
        <v>300 ±200</v>
      </c>
      <c r="U111" s="10" t="str">
        <f>IFERROR(__xludf.DUMMYFUNCTION("""COMPUTED_VALUE"""),"100 ±200")</f>
        <v>100 ±200</v>
      </c>
      <c r="V111" s="10" t="str">
        <f>IFERROR(__xludf.DUMMYFUNCTION("""COMPUTED_VALUE"""),"11 ±4")</f>
        <v>11 ±4</v>
      </c>
      <c r="W111" s="10">
        <f>IFERROR(__xludf.DUMMYFUNCTION("""COMPUTED_VALUE"""),36.0)</f>
        <v>36</v>
      </c>
      <c r="X111" s="10" t="str">
        <f>IFERROR(__xludf.DUMMYFUNCTION("""COMPUTED_VALUE"""),"")</f>
        <v/>
      </c>
      <c r="Y111" s="10"/>
      <c r="Z111" s="10"/>
      <c r="AA111" s="10"/>
      <c r="AB111" s="10"/>
      <c r="AC111" s="10"/>
      <c r="AD111" s="10"/>
      <c r="AE111" s="10"/>
      <c r="AF111" s="10"/>
      <c r="AG111" s="10"/>
      <c r="AH111" s="10"/>
    </row>
    <row r="112">
      <c r="A112" s="10" t="str">
        <f>IFERROR(__xludf.DUMMYFUNCTION("""COMPUTED_VALUE"""),"*Id*")</f>
        <v>*Id*</v>
      </c>
      <c r="B112" s="10" t="str">
        <f>IFERROR(__xludf.DUMMYFUNCTION("""COMPUTED_VALUE"""),"*Nom*")</f>
        <v>*Nom*</v>
      </c>
      <c r="C112" s="10" t="str">
        <f>IFERROR(__xludf.DUMMYFUNCTION("""COMPUTED_VALUE"""),"*Famille*")</f>
        <v>*Famille*</v>
      </c>
      <c r="D112" s="10" t="str">
        <f>IFERROR(__xludf.DUMMYFUNCTION("""COMPUTED_VALUE"""),"*Niv*")</f>
        <v>*Niv*</v>
      </c>
      <c r="E112" s="10" t="str">
        <f>IFERROR(__xludf.DUMMYFUNCTION("""COMPUTED_VALUE"""),"*Nb att*")</f>
        <v>*Nb att*</v>
      </c>
      <c r="F112" s="10" t="str">
        <f>IFERROR(__xludf.DUMMYFUNCTION("""COMPUTED_VALUE"""),"*Att mag*")</f>
        <v>*Att mag*</v>
      </c>
      <c r="G112" s="10" t="str">
        <f>IFERROR(__xludf.DUMMYFUNCTION("""COMPUTED_VALUE"""),"*Att dist*")</f>
        <v>*Att dist*</v>
      </c>
      <c r="H112" s="10" t="str">
        <f>IFERROR(__xludf.DUMMYFUNCTION("""COMPUTED_VALUE"""),"*Vit*")</f>
        <v>*Vit*</v>
      </c>
      <c r="I112" s="10" t="str">
        <f>IFERROR(__xludf.DUMMYFUNCTION("""COMPUTED_VALUE"""),"*VlC*")</f>
        <v>*VlC*</v>
      </c>
      <c r="J112" s="10" t="str">
        <f>IFERROR(__xludf.DUMMYFUNCTION("""COMPUTED_VALUE"""),"*Pouvoir 1*")</f>
        <v>*Pouvoir 1*</v>
      </c>
      <c r="K112" s="10" t="str">
        <f>IFERROR(__xludf.DUMMYFUNCTION("""COMPUTED_VALUE"""),"*Pouvoir 2*")</f>
        <v>*Pouvoir 2*</v>
      </c>
      <c r="L112" s="10" t="str">
        <f>IFERROR(__xludf.DUMMYFUNCTION("""COMPUTED_VALUE"""),"*PV*")</f>
        <v>*PV*</v>
      </c>
      <c r="M112" s="10" t="str">
        <f>IFERROR(__xludf.DUMMYFUNCTION("""COMPUTED_VALUE"""),"*Att*")</f>
        <v>*Att*</v>
      </c>
      <c r="N112" s="10" t="str">
        <f>IFERROR(__xludf.DUMMYFUNCTION("""COMPUTED_VALUE"""),"*Esq*")</f>
        <v>*Esq*</v>
      </c>
      <c r="O112" s="10" t="str">
        <f>IFERROR(__xludf.DUMMYFUNCTION("""COMPUTED_VALUE"""),"*Dégât*")</f>
        <v>*Dégât*</v>
      </c>
      <c r="P112" s="10" t="str">
        <f>IFERROR(__xludf.DUMMYFUNCTION("""COMPUTED_VALUE"""),"*Vue*")</f>
        <v>*Vue*</v>
      </c>
      <c r="Q112" s="10" t="str">
        <f>IFERROR(__xludf.DUMMYFUNCTION("""COMPUTED_VALUE"""),"*Régen*")</f>
        <v>*Régen*</v>
      </c>
      <c r="R112" s="10" t="str">
        <f>IFERROR(__xludf.DUMMYFUNCTION("""COMPUTED_VALUE"""),"*Arm phy*")</f>
        <v>*Arm phy*</v>
      </c>
      <c r="S112" s="10" t="str">
        <f>IFERROR(__xludf.DUMMYFUNCTION("""COMPUTED_VALUE"""),"*Arm mag*")</f>
        <v>*Arm mag*</v>
      </c>
      <c r="T112" s="10" t="str">
        <f>IFERROR(__xludf.DUMMYFUNCTION("""COMPUTED_VALUE"""),"*MM*")</f>
        <v>*MM*</v>
      </c>
      <c r="U112" s="10" t="str">
        <f>IFERROR(__xludf.DUMMYFUNCTION("""COMPUTED_VALUE"""),"*RM*")</f>
        <v>*RM*</v>
      </c>
      <c r="V112" s="10" t="str">
        <f>IFERROR(__xludf.DUMMYFUNCTION("""COMPUTED_VALUE"""),"*DLA*")</f>
        <v>*DLA*</v>
      </c>
      <c r="W112" s="10" t="str">
        <f>IFERROR(__xludf.DUMMYFUNCTION("""COMPUTED_VALUE"""),"*Echant*")</f>
        <v>*Echant*</v>
      </c>
      <c r="X112" s="10" t="str">
        <f>IFERROR(__xludf.DUMMYFUNCTION("""COMPUTED_VALUE"""),"*Vole*")</f>
        <v>*Vole*</v>
      </c>
      <c r="Y112" s="10"/>
      <c r="Z112" s="10"/>
      <c r="AA112" s="10"/>
      <c r="AB112" s="10"/>
      <c r="AC112" s="10"/>
      <c r="AD112" s="10"/>
      <c r="AE112" s="10"/>
      <c r="AF112" s="10"/>
      <c r="AG112" s="10"/>
      <c r="AH112" s="10"/>
    </row>
    <row r="113">
      <c r="A113" s="10">
        <f>IFERROR(__xludf.DUMMYFUNCTION("""COMPUTED_VALUE"""),126.0)</f>
        <v>126</v>
      </c>
      <c r="B113" s="10" t="str">
        <f>IFERROR(__xludf.DUMMYFUNCTION("""COMPUTED_VALUE"""),"Lutin")</f>
        <v>Lutin</v>
      </c>
      <c r="C113" s="10" t="str">
        <f>IFERROR(__xludf.DUMMYFUNCTION("""COMPUTED_VALUE"""),"Humanoïde")</f>
        <v>Humanoïde</v>
      </c>
      <c r="D113" s="10">
        <f>IFERROR(__xludf.DUMMYFUNCTION("""COMPUTED_VALUE"""),2.0)</f>
        <v>2</v>
      </c>
      <c r="E113" s="10">
        <f>IFERROR(__xludf.DUMMYFUNCTION("""COMPUTED_VALUE"""),1.0)</f>
        <v>1</v>
      </c>
      <c r="F113" s="10" t="str">
        <f>IFERROR(__xludf.DUMMYFUNCTION("""COMPUTED_VALUE"""),"")</f>
        <v/>
      </c>
      <c r="G113" s="10" t="str">
        <f>IFERROR(__xludf.DUMMYFUNCTION("""COMPUTED_VALUE"""),"Non")</f>
        <v>Non</v>
      </c>
      <c r="H113" s="10" t="str">
        <f>IFERROR(__xludf.DUMMYFUNCTION("""COMPUTED_VALUE"""),"Normale")</f>
        <v>Normale</v>
      </c>
      <c r="I113" s="10" t="str">
        <f>IFERROR(__xludf.DUMMYFUNCTION("""COMPUTED_VALUE"""),"Non")</f>
        <v>Non</v>
      </c>
      <c r="J113" s="10" t="str">
        <f>IFERROR(__xludf.DUMMYFUNCTION("""COMPUTED_VALUE"""),"-")</f>
        <v>-</v>
      </c>
      <c r="K113" s="10" t="str">
        <f>IFERROR(__xludf.DUMMYFUNCTION("""COMPUTED_VALUE"""),"-")</f>
        <v>-</v>
      </c>
      <c r="L113" s="10" t="str">
        <f>IFERROR(__xludf.DUMMYFUNCTION("""COMPUTED_VALUE"""),"15 ±20")</f>
        <v>15 ±20</v>
      </c>
      <c r="M113" s="10" t="str">
        <f>IFERROR(__xludf.DUMMYFUNCTION("""COMPUTED_VALUE"""),"2 ±2")</f>
        <v>2 ±2</v>
      </c>
      <c r="N113" s="10" t="str">
        <f>IFERROR(__xludf.DUMMYFUNCTION("""COMPUTED_VALUE"""),"7 ±3")</f>
        <v>7 ±3</v>
      </c>
      <c r="O113" s="10" t="str">
        <f>IFERROR(__xludf.DUMMYFUNCTION("""COMPUTED_VALUE"""),"1 ±2")</f>
        <v>1 ±2</v>
      </c>
      <c r="P113" s="10" t="str">
        <f>IFERROR(__xludf.DUMMYFUNCTION("""COMPUTED_VALUE"""),"2 ±2")</f>
        <v>2 ±2</v>
      </c>
      <c r="Q113" s="10" t="str">
        <f>IFERROR(__xludf.DUMMYFUNCTION("""COMPUTED_VALUE"""),"1 ±1")</f>
        <v>1 ±1</v>
      </c>
      <c r="R113" s="10" t="str">
        <f>IFERROR(__xludf.DUMMYFUNCTION("""COMPUTED_VALUE"""),"1 ±2")</f>
        <v>1 ±2</v>
      </c>
      <c r="S113" s="10" t="str">
        <f>IFERROR(__xludf.DUMMYFUNCTION("""COMPUTED_VALUE"""),"")</f>
        <v/>
      </c>
      <c r="T113" s="10" t="str">
        <f>IFERROR(__xludf.DUMMYFUNCTION("""COMPUTED_VALUE"""),"100 ±")</f>
        <v>100 ±</v>
      </c>
      <c r="U113" s="10" t="str">
        <f>IFERROR(__xludf.DUMMYFUNCTION("""COMPUTED_VALUE"""),"100 ±")</f>
        <v>100 ±</v>
      </c>
      <c r="V113" s="10" t="str">
        <f>IFERROR(__xludf.DUMMYFUNCTION("""COMPUTED_VALUE"""),"13 ±3")</f>
        <v>13 ±3</v>
      </c>
      <c r="W113" s="10">
        <f>IFERROR(__xludf.DUMMYFUNCTION("""COMPUTED_VALUE"""),20.0)</f>
        <v>20</v>
      </c>
      <c r="X113" s="10" t="str">
        <f>IFERROR(__xludf.DUMMYFUNCTION("""COMPUTED_VALUE"""),"")</f>
        <v/>
      </c>
      <c r="Y113" s="10"/>
      <c r="Z113" s="10"/>
      <c r="AA113" s="10"/>
      <c r="AB113" s="10"/>
      <c r="AC113" s="10"/>
      <c r="AD113" s="10"/>
      <c r="AE113" s="10"/>
      <c r="AF113" s="10"/>
      <c r="AG113" s="10"/>
      <c r="AH113" s="10"/>
    </row>
    <row r="114">
      <c r="A114" s="10">
        <f>IFERROR(__xludf.DUMMYFUNCTION("""COMPUTED_VALUE"""),173.0)</f>
        <v>173</v>
      </c>
      <c r="B114" s="10" t="str">
        <f>IFERROR(__xludf.DUMMYFUNCTION("""COMPUTED_VALUE"""),"Mante Fulcreuse")</f>
        <v>Mante Fulcreuse</v>
      </c>
      <c r="C114" s="10" t="str">
        <f>IFERROR(__xludf.DUMMYFUNCTION("""COMPUTED_VALUE"""),"Insecte")</f>
        <v>Insecte</v>
      </c>
      <c r="D114" s="10">
        <f>IFERROR(__xludf.DUMMYFUNCTION("""COMPUTED_VALUE"""),30.0)</f>
        <v>30</v>
      </c>
      <c r="E114" s="10">
        <f>IFERROR(__xludf.DUMMYFUNCTION("""COMPUTED_VALUE"""),1.0)</f>
        <v>1</v>
      </c>
      <c r="F114" s="10" t="str">
        <f>IFERROR(__xludf.DUMMYFUNCTION("""COMPUTED_VALUE"""),"Non")</f>
        <v>Non</v>
      </c>
      <c r="G114" s="10" t="str">
        <f>IFERROR(__xludf.DUMMYFUNCTION("""COMPUTED_VALUE"""),"Non")</f>
        <v>Non</v>
      </c>
      <c r="H114" s="10" t="str">
        <f>IFERROR(__xludf.DUMMYFUNCTION("""COMPUTED_VALUE"""),"Normale")</f>
        <v>Normale</v>
      </c>
      <c r="I114" s="10" t="str">
        <f>IFERROR(__xludf.DUMMYFUNCTION("""COMPUTED_VALUE"""),"Non")</f>
        <v>Non</v>
      </c>
      <c r="J114" s="10" t="str">
        <f>IFERROR(__xludf.DUMMYFUNCTION("""COMPUTED_VALUE"""),"Venin virulent - Toucher")</f>
        <v>Venin virulent - Toucher</v>
      </c>
      <c r="K114" s="10" t="str">
        <f>IFERROR(__xludf.DUMMYFUNCTION("""COMPUTED_VALUE"""),"-")</f>
        <v>-</v>
      </c>
      <c r="L114" s="10" t="str">
        <f>IFERROR(__xludf.DUMMYFUNCTION("""COMPUTED_VALUE"""),"190 ±45")</f>
        <v>190 ±45</v>
      </c>
      <c r="M114" s="10" t="str">
        <f>IFERROR(__xludf.DUMMYFUNCTION("""COMPUTED_VALUE"""),"14 ±4")</f>
        <v>14 ±4</v>
      </c>
      <c r="N114" s="10" t="str">
        <f>IFERROR(__xludf.DUMMYFUNCTION("""COMPUTED_VALUE"""),"10 ±3")</f>
        <v>10 ±3</v>
      </c>
      <c r="O114" s="10" t="str">
        <f>IFERROR(__xludf.DUMMYFUNCTION("""COMPUTED_VALUE"""),"6 ±3")</f>
        <v>6 ±3</v>
      </c>
      <c r="P114" s="10" t="str">
        <f>IFERROR(__xludf.DUMMYFUNCTION("""COMPUTED_VALUE"""),"5 ±3")</f>
        <v>5 ±3</v>
      </c>
      <c r="Q114" s="10" t="str">
        <f>IFERROR(__xludf.DUMMYFUNCTION("""COMPUTED_VALUE"""),"10 ±2")</f>
        <v>10 ±2</v>
      </c>
      <c r="R114" s="10" t="str">
        <f>IFERROR(__xludf.DUMMYFUNCTION("""COMPUTED_VALUE"""),"10 ±3")</f>
        <v>10 ±3</v>
      </c>
      <c r="S114" s="10" t="str">
        <f>IFERROR(__xludf.DUMMYFUNCTION("""COMPUTED_VALUE"""),"")</f>
        <v/>
      </c>
      <c r="T114" s="10" t="str">
        <f>IFERROR(__xludf.DUMMYFUNCTION("""COMPUTED_VALUE"""),"3000 ±700")</f>
        <v>3000 ±700</v>
      </c>
      <c r="U114" s="10" t="str">
        <f>IFERROR(__xludf.DUMMYFUNCTION("""COMPUTED_VALUE"""),"1300 ±400")</f>
        <v>1300 ±400</v>
      </c>
      <c r="V114" s="10" t="str">
        <f>IFERROR(__xludf.DUMMYFUNCTION("""COMPUTED_VALUE"""),"13 ±4")</f>
        <v>13 ±4</v>
      </c>
      <c r="W114" s="10">
        <f>IFERROR(__xludf.DUMMYFUNCTION("""COMPUTED_VALUE"""),129.0)</f>
        <v>129</v>
      </c>
      <c r="X114" s="10" t="str">
        <f>IFERROR(__xludf.DUMMYFUNCTION("""COMPUTED_VALUE"""),"")</f>
        <v/>
      </c>
      <c r="Y114" s="10"/>
      <c r="Z114" s="10"/>
      <c r="AA114" s="10"/>
      <c r="AB114" s="10"/>
      <c r="AC114" s="10"/>
      <c r="AD114" s="10"/>
      <c r="AE114" s="10"/>
      <c r="AF114" s="10"/>
      <c r="AG114" s="10"/>
      <c r="AH114" s="10"/>
    </row>
    <row r="115">
      <c r="A115" s="10">
        <f>IFERROR(__xludf.DUMMYFUNCTION("""COMPUTED_VALUE"""),89.0)</f>
        <v>89</v>
      </c>
      <c r="B115" s="10" t="str">
        <f>IFERROR(__xludf.DUMMYFUNCTION("""COMPUTED_VALUE"""),"Manticore")</f>
        <v>Manticore</v>
      </c>
      <c r="C115" s="10" t="str">
        <f>IFERROR(__xludf.DUMMYFUNCTION("""COMPUTED_VALUE"""),"Monstre")</f>
        <v>Monstre</v>
      </c>
      <c r="D115" s="10">
        <f>IFERROR(__xludf.DUMMYFUNCTION("""COMPUTED_VALUE"""),9.0)</f>
        <v>9</v>
      </c>
      <c r="E115" s="10">
        <f>IFERROR(__xludf.DUMMYFUNCTION("""COMPUTED_VALUE"""),1.0)</f>
        <v>1</v>
      </c>
      <c r="F115" s="10" t="str">
        <f>IFERROR(__xludf.DUMMYFUNCTION("""COMPUTED_VALUE"""),"")</f>
        <v/>
      </c>
      <c r="G115" s="10" t="str">
        <f>IFERROR(__xludf.DUMMYFUNCTION("""COMPUTED_VALUE"""),"Non")</f>
        <v>Non</v>
      </c>
      <c r="H115" s="10" t="str">
        <f>IFERROR(__xludf.DUMMYFUNCTION("""COMPUTED_VALUE"""),"Normale")</f>
        <v>Normale</v>
      </c>
      <c r="I115" s="10" t="str">
        <f>IFERROR(__xludf.DUMMYFUNCTION("""COMPUTED_VALUE"""),"Non")</f>
        <v>Non</v>
      </c>
      <c r="J115" s="10" t="str">
        <f>IFERROR(__xludf.DUMMYFUNCTION("""COMPUTED_VALUE"""),"Coup perforant - Toucher")</f>
        <v>Coup perforant - Toucher</v>
      </c>
      <c r="K115" s="10" t="str">
        <f>IFERROR(__xludf.DUMMYFUNCTION("""COMPUTED_VALUE"""),"-")</f>
        <v>-</v>
      </c>
      <c r="L115" s="10" t="str">
        <f>IFERROR(__xludf.DUMMYFUNCTION("""COMPUTED_VALUE"""),"70 ±25")</f>
        <v>70 ±25</v>
      </c>
      <c r="M115" s="10" t="str">
        <f>IFERROR(__xludf.DUMMYFUNCTION("""COMPUTED_VALUE"""),"7 ±3")</f>
        <v>7 ±3</v>
      </c>
      <c r="N115" s="10" t="str">
        <f>IFERROR(__xludf.DUMMYFUNCTION("""COMPUTED_VALUE"""),"5 ±3")</f>
        <v>5 ±3</v>
      </c>
      <c r="O115" s="10" t="str">
        <f>IFERROR(__xludf.DUMMYFUNCTION("""COMPUTED_VALUE"""),"7 ±3")</f>
        <v>7 ±3</v>
      </c>
      <c r="P115" s="10" t="str">
        <f>IFERROR(__xludf.DUMMYFUNCTION("""COMPUTED_VALUE"""),"3 ±2")</f>
        <v>3 ±2</v>
      </c>
      <c r="Q115" s="10" t="str">
        <f>IFERROR(__xludf.DUMMYFUNCTION("""COMPUTED_VALUE"""),"1 ±1")</f>
        <v>1 ±1</v>
      </c>
      <c r="R115" s="10" t="str">
        <f>IFERROR(__xludf.DUMMYFUNCTION("""COMPUTED_VALUE"""),"2 ±2")</f>
        <v>2 ±2</v>
      </c>
      <c r="S115" s="10" t="str">
        <f>IFERROR(__xludf.DUMMYFUNCTION("""COMPUTED_VALUE"""),"")</f>
        <v/>
      </c>
      <c r="T115" s="10" t="str">
        <f>IFERROR(__xludf.DUMMYFUNCTION("""COMPUTED_VALUE"""),"400 ±300")</f>
        <v>400 ±300</v>
      </c>
      <c r="U115" s="10" t="str">
        <f>IFERROR(__xludf.DUMMYFUNCTION("""COMPUTED_VALUE"""),"200 ±200")</f>
        <v>200 ±200</v>
      </c>
      <c r="V115" s="10" t="str">
        <f>IFERROR(__xludf.DUMMYFUNCTION("""COMPUTED_VALUE"""),"13 ±4")</f>
        <v>13 ±4</v>
      </c>
      <c r="W115" s="10">
        <f>IFERROR(__xludf.DUMMYFUNCTION("""COMPUTED_VALUE"""),34.0)</f>
        <v>34</v>
      </c>
      <c r="X115" s="10" t="str">
        <f>IFERROR(__xludf.DUMMYFUNCTION("""COMPUTED_VALUE"""),"")</f>
        <v/>
      </c>
      <c r="Y115" s="10"/>
      <c r="Z115" s="10"/>
      <c r="AA115" s="10"/>
      <c r="AB115" s="10"/>
      <c r="AC115" s="10"/>
      <c r="AD115" s="10"/>
      <c r="AE115" s="10"/>
      <c r="AF115" s="10"/>
      <c r="AG115" s="10"/>
      <c r="AH115" s="10"/>
    </row>
    <row r="116">
      <c r="A116" s="10">
        <f>IFERROR(__xludf.DUMMYFUNCTION("""COMPUTED_VALUE"""),120.0)</f>
        <v>120</v>
      </c>
      <c r="B116" s="10" t="str">
        <f>IFERROR(__xludf.DUMMYFUNCTION("""COMPUTED_VALUE"""),"Marilith")</f>
        <v>Marilith</v>
      </c>
      <c r="C116" s="10" t="str">
        <f>IFERROR(__xludf.DUMMYFUNCTION("""COMPUTED_VALUE"""),"Démon")</f>
        <v>Démon</v>
      </c>
      <c r="D116" s="10">
        <f>IFERROR(__xludf.DUMMYFUNCTION("""COMPUTED_VALUE"""),33.0)</f>
        <v>33</v>
      </c>
      <c r="E116" s="10">
        <f>IFERROR(__xludf.DUMMYFUNCTION("""COMPUTED_VALUE"""),6.0)</f>
        <v>6</v>
      </c>
      <c r="F116" s="10" t="str">
        <f>IFERROR(__xludf.DUMMYFUNCTION("""COMPUTED_VALUE"""),"Non")</f>
        <v>Non</v>
      </c>
      <c r="G116" s="10" t="str">
        <f>IFERROR(__xludf.DUMMYFUNCTION("""COMPUTED_VALUE"""),"Non")</f>
        <v>Non</v>
      </c>
      <c r="H116" s="10" t="str">
        <f>IFERROR(__xludf.DUMMYFUNCTION("""COMPUTED_VALUE"""),"Rapide")</f>
        <v>Rapide</v>
      </c>
      <c r="I116" s="10" t="str">
        <f>IFERROR(__xludf.DUMMYFUNCTION("""COMPUTED_VALUE"""),"Oui")</f>
        <v>Oui</v>
      </c>
      <c r="J116" s="10" t="str">
        <f>IFERROR(__xludf.DUMMYFUNCTION("""COMPUTED_VALUE"""),"Constriction - Toucher")</f>
        <v>Constriction - Toucher</v>
      </c>
      <c r="K116" s="10" t="str">
        <f>IFERROR(__xludf.DUMMYFUNCTION("""COMPUTED_VALUE"""),"-")</f>
        <v>-</v>
      </c>
      <c r="L116" s="10" t="str">
        <f>IFERROR(__xludf.DUMMYFUNCTION("""COMPUTED_VALUE"""),"100 ±35")</f>
        <v>100 ±35</v>
      </c>
      <c r="M116" s="10" t="str">
        <f>IFERROR(__xludf.DUMMYFUNCTION("""COMPUTED_VALUE"""),"12 ±4")</f>
        <v>12 ±4</v>
      </c>
      <c r="N116" s="10" t="str">
        <f>IFERROR(__xludf.DUMMYFUNCTION("""COMPUTED_VALUE"""),"12 ±4")</f>
        <v>12 ±4</v>
      </c>
      <c r="O116" s="10" t="str">
        <f>IFERROR(__xludf.DUMMYFUNCTION("""COMPUTED_VALUE"""),"9 ±3")</f>
        <v>9 ±3</v>
      </c>
      <c r="P116" s="10" t="str">
        <f>IFERROR(__xludf.DUMMYFUNCTION("""COMPUTED_VALUE"""),"4 ±3")</f>
        <v>4 ±3</v>
      </c>
      <c r="Q116" s="10" t="str">
        <f>IFERROR(__xludf.DUMMYFUNCTION("""COMPUTED_VALUE"""),"2 ±1")</f>
        <v>2 ±1</v>
      </c>
      <c r="R116" s="10" t="str">
        <f>IFERROR(__xludf.DUMMYFUNCTION("""COMPUTED_VALUE"""),"10 ±3")</f>
        <v>10 ±3</v>
      </c>
      <c r="S116" s="10" t="str">
        <f>IFERROR(__xludf.DUMMYFUNCTION("""COMPUTED_VALUE"""),"")</f>
        <v/>
      </c>
      <c r="T116" s="10" t="str">
        <f>IFERROR(__xludf.DUMMYFUNCTION("""COMPUTED_VALUE"""),"3000 ±800")</f>
        <v>3000 ±800</v>
      </c>
      <c r="U116" s="10" t="str">
        <f>IFERROR(__xludf.DUMMYFUNCTION("""COMPUTED_VALUE"""),"1300 ±400")</f>
        <v>1300 ±400</v>
      </c>
      <c r="V116" s="10" t="str">
        <f>IFERROR(__xludf.DUMMYFUNCTION("""COMPUTED_VALUE"""),"12 ±4")</f>
        <v>12 ±4</v>
      </c>
      <c r="W116" s="10">
        <f>IFERROR(__xludf.DUMMYFUNCTION("""COMPUTED_VALUE"""),130.0)</f>
        <v>130</v>
      </c>
      <c r="X116" s="10" t="str">
        <f>IFERROR(__xludf.DUMMYFUNCTION("""COMPUTED_VALUE"""),"")</f>
        <v/>
      </c>
      <c r="Y116" s="10"/>
      <c r="Z116" s="10"/>
      <c r="AA116" s="10"/>
      <c r="AB116" s="10"/>
      <c r="AC116" s="10"/>
      <c r="AD116" s="10"/>
      <c r="AE116" s="10"/>
      <c r="AF116" s="10"/>
      <c r="AG116" s="10"/>
      <c r="AH116" s="10"/>
    </row>
    <row r="117">
      <c r="A117" s="10">
        <f>IFERROR(__xludf.DUMMYFUNCTION("""COMPUTED_VALUE"""),88.0)</f>
        <v>88</v>
      </c>
      <c r="B117" s="10" t="str">
        <f>IFERROR(__xludf.DUMMYFUNCTION("""COMPUTED_VALUE"""),"Méduse")</f>
        <v>Méduse</v>
      </c>
      <c r="C117" s="10" t="str">
        <f>IFERROR(__xludf.DUMMYFUNCTION("""COMPUTED_VALUE"""),"Humanoïde")</f>
        <v>Humanoïde</v>
      </c>
      <c r="D117" s="10">
        <f>IFERROR(__xludf.DUMMYFUNCTION("""COMPUTED_VALUE"""),6.0)</f>
        <v>6</v>
      </c>
      <c r="E117" s="10">
        <f>IFERROR(__xludf.DUMMYFUNCTION("""COMPUTED_VALUE"""),1.0)</f>
        <v>1</v>
      </c>
      <c r="F117" s="10" t="str">
        <f>IFERROR(__xludf.DUMMYFUNCTION("""COMPUTED_VALUE"""),"")</f>
        <v/>
      </c>
      <c r="G117" s="10" t="str">
        <f>IFERROR(__xludf.DUMMYFUNCTION("""COMPUTED_VALUE"""),"Non")</f>
        <v>Non</v>
      </c>
      <c r="H117" s="10" t="str">
        <f>IFERROR(__xludf.DUMMYFUNCTION("""COMPUTED_VALUE"""),"Normale")</f>
        <v>Normale</v>
      </c>
      <c r="I117" s="10" t="str">
        <f>IFERROR(__xludf.DUMMYFUNCTION("""COMPUTED_VALUE"""),"Non")</f>
        <v>Non</v>
      </c>
      <c r="J117" s="10" t="str">
        <f>IFERROR(__xludf.DUMMYFUNCTION("""COMPUTED_VALUE"""),"Pétrification - Zone (1)")</f>
        <v>Pétrification - Zone (1)</v>
      </c>
      <c r="K117" s="10" t="str">
        <f>IFERROR(__xludf.DUMMYFUNCTION("""COMPUTED_VALUE"""),"-")</f>
        <v>-</v>
      </c>
      <c r="L117" s="10" t="str">
        <f>IFERROR(__xludf.DUMMYFUNCTION("""COMPUTED_VALUE"""),"45 ±30")</f>
        <v>45 ±30</v>
      </c>
      <c r="M117" s="10" t="str">
        <f>IFERROR(__xludf.DUMMYFUNCTION("""COMPUTED_VALUE"""),"6 ±3")</f>
        <v>6 ±3</v>
      </c>
      <c r="N117" s="10" t="str">
        <f>IFERROR(__xludf.DUMMYFUNCTION("""COMPUTED_VALUE"""),"6 ±3")</f>
        <v>6 ±3</v>
      </c>
      <c r="O117" s="10" t="str">
        <f>IFERROR(__xludf.DUMMYFUNCTION("""COMPUTED_VALUE"""),"4 ±3")</f>
        <v>4 ±3</v>
      </c>
      <c r="P117" s="10" t="str">
        <f>IFERROR(__xludf.DUMMYFUNCTION("""COMPUTED_VALUE"""),"4 ±3")</f>
        <v>4 ±3</v>
      </c>
      <c r="Q117" s="10" t="str">
        <f>IFERROR(__xludf.DUMMYFUNCTION("""COMPUTED_VALUE"""),"2 ±1")</f>
        <v>2 ±1</v>
      </c>
      <c r="R117" s="10" t="str">
        <f>IFERROR(__xludf.DUMMYFUNCTION("""COMPUTED_VALUE"""),"3 ±2")</f>
        <v>3 ±2</v>
      </c>
      <c r="S117" s="10" t="str">
        <f>IFERROR(__xludf.DUMMYFUNCTION("""COMPUTED_VALUE"""),"")</f>
        <v/>
      </c>
      <c r="T117" s="10" t="str">
        <f>IFERROR(__xludf.DUMMYFUNCTION("""COMPUTED_VALUE"""),"400 ±300")</f>
        <v>400 ±300</v>
      </c>
      <c r="U117" s="10" t="str">
        <f>IFERROR(__xludf.DUMMYFUNCTION("""COMPUTED_VALUE"""),"200 ±200")</f>
        <v>200 ±200</v>
      </c>
      <c r="V117" s="10" t="str">
        <f>IFERROR(__xludf.DUMMYFUNCTION("""COMPUTED_VALUE"""),"11 ±3")</f>
        <v>11 ±3</v>
      </c>
      <c r="W117" s="10">
        <f>IFERROR(__xludf.DUMMYFUNCTION("""COMPUTED_VALUE"""),21.0)</f>
        <v>21</v>
      </c>
      <c r="X117" s="10" t="str">
        <f>IFERROR(__xludf.DUMMYFUNCTION("""COMPUTED_VALUE"""),"")</f>
        <v/>
      </c>
      <c r="Y117" s="10"/>
      <c r="Z117" s="10"/>
      <c r="AA117" s="10"/>
      <c r="AB117" s="10"/>
      <c r="AC117" s="10"/>
      <c r="AD117" s="10"/>
      <c r="AE117" s="10"/>
      <c r="AF117" s="10"/>
      <c r="AG117" s="10"/>
      <c r="AH117" s="10"/>
    </row>
    <row r="118">
      <c r="A118" s="10">
        <f>IFERROR(__xludf.DUMMYFUNCTION("""COMPUTED_VALUE"""),202.0)</f>
        <v>202</v>
      </c>
      <c r="B118" s="10" t="str">
        <f>IFERROR(__xludf.DUMMYFUNCTION("""COMPUTED_VALUE"""),"Mégacephale")</f>
        <v>Mégacephale</v>
      </c>
      <c r="C118" s="10" t="str">
        <f>IFERROR(__xludf.DUMMYFUNCTION("""COMPUTED_VALUE"""),"Humanoïde")</f>
        <v>Humanoïde</v>
      </c>
      <c r="D118" s="10">
        <f>IFERROR(__xludf.DUMMYFUNCTION("""COMPUTED_VALUE"""),38.0)</f>
        <v>38</v>
      </c>
      <c r="E118" s="10">
        <f>IFERROR(__xludf.DUMMYFUNCTION("""COMPUTED_VALUE"""),1.0)</f>
        <v>1</v>
      </c>
      <c r="F118" s="10" t="str">
        <f>IFERROR(__xludf.DUMMYFUNCTION("""COMPUTED_VALUE"""),"Oui")</f>
        <v>Oui</v>
      </c>
      <c r="G118" s="10" t="str">
        <f>IFERROR(__xludf.DUMMYFUNCTION("""COMPUTED_VALUE"""),"Non")</f>
        <v>Non</v>
      </c>
      <c r="H118" s="10" t="str">
        <f>IFERROR(__xludf.DUMMYFUNCTION("""COMPUTED_VALUE"""),"Normale")</f>
        <v>Normale</v>
      </c>
      <c r="I118" s="10" t="str">
        <f>IFERROR(__xludf.DUMMYFUNCTION("""COMPUTED_VALUE"""),"Non")</f>
        <v>Non</v>
      </c>
      <c r="J118" s="10" t="str">
        <f>IFERROR(__xludf.DUMMYFUNCTION("""COMPUTED_VALUE"""),"Trombe mentale - Auto")</f>
        <v>Trombe mentale - Auto</v>
      </c>
      <c r="K118" s="10" t="str">
        <f>IFERROR(__xludf.DUMMYFUNCTION("""COMPUTED_VALUE"""),"Attaque automatique")</f>
        <v>Attaque automatique</v>
      </c>
      <c r="L118" s="10" t="str">
        <f>IFERROR(__xludf.DUMMYFUNCTION("""COMPUTED_VALUE"""),"200 ±50")</f>
        <v>200 ±50</v>
      </c>
      <c r="M118" s="10" t="str">
        <f>IFERROR(__xludf.DUMMYFUNCTION("""COMPUTED_VALUE"""),"1 ±1")</f>
        <v>1 ±1</v>
      </c>
      <c r="N118" s="10" t="str">
        <f>IFERROR(__xludf.DUMMYFUNCTION("""COMPUTED_VALUE"""),"14 ±3")</f>
        <v>14 ±3</v>
      </c>
      <c r="O118" s="10" t="str">
        <f>IFERROR(__xludf.DUMMYFUNCTION("""COMPUTED_VALUE"""),"18 ±3")</f>
        <v>18 ±3</v>
      </c>
      <c r="P118" s="10" t="str">
        <f>IFERROR(__xludf.DUMMYFUNCTION("""COMPUTED_VALUE"""),"5 ±3")</f>
        <v>5 ±3</v>
      </c>
      <c r="Q118" s="10" t="str">
        <f>IFERROR(__xludf.DUMMYFUNCTION("""COMPUTED_VALUE"""),"10 ± 2")</f>
        <v>10 ± 2</v>
      </c>
      <c r="R118" s="10" t="str">
        <f>IFERROR(__xludf.DUMMYFUNCTION("""COMPUTED_VALUE"""),"30 ±5")</f>
        <v>30 ±5</v>
      </c>
      <c r="S118" s="10" t="str">
        <f>IFERROR(__xludf.DUMMYFUNCTION("""COMPUTED_VALUE"""),"")</f>
        <v/>
      </c>
      <c r="T118" s="10" t="str">
        <f>IFERROR(__xludf.DUMMYFUNCTION("""COMPUTED_VALUE"""),"3000 ±700")</f>
        <v>3000 ±700</v>
      </c>
      <c r="U118" s="10" t="str">
        <f>IFERROR(__xludf.DUMMYFUNCTION("""COMPUTED_VALUE"""),"1000 ±300")</f>
        <v>1000 ±300</v>
      </c>
      <c r="V118" s="10" t="str">
        <f>IFERROR(__xludf.DUMMYFUNCTION("""COMPUTED_VALUE"""),"10 ±3")</f>
        <v>10 ±3</v>
      </c>
      <c r="W118" s="10">
        <f>IFERROR(__xludf.DUMMYFUNCTION("""COMPUTED_VALUE"""),134.0)</f>
        <v>134</v>
      </c>
      <c r="X118" s="10" t="str">
        <f>IFERROR(__xludf.DUMMYFUNCTION("""COMPUTED_VALUE"""),"")</f>
        <v/>
      </c>
      <c r="Y118" s="10"/>
      <c r="Z118" s="10"/>
      <c r="AA118" s="10"/>
      <c r="AB118" s="10"/>
      <c r="AC118" s="10"/>
      <c r="AD118" s="10"/>
      <c r="AE118" s="10"/>
      <c r="AF118" s="10"/>
      <c r="AG118" s="10"/>
      <c r="AH118" s="10"/>
    </row>
    <row r="119">
      <c r="A119" s="10" t="str">
        <f>IFERROR(__xludf.DUMMYFUNCTION("""COMPUTED_VALUE"""),"*Id*")</f>
        <v>*Id*</v>
      </c>
      <c r="B119" s="10" t="str">
        <f>IFERROR(__xludf.DUMMYFUNCTION("""COMPUTED_VALUE"""),"*Nom*")</f>
        <v>*Nom*</v>
      </c>
      <c r="C119" s="10" t="str">
        <f>IFERROR(__xludf.DUMMYFUNCTION("""COMPUTED_VALUE"""),"*Famille*")</f>
        <v>*Famille*</v>
      </c>
      <c r="D119" s="10" t="str">
        <f>IFERROR(__xludf.DUMMYFUNCTION("""COMPUTED_VALUE"""),"*Niv*")</f>
        <v>*Niv*</v>
      </c>
      <c r="E119" s="10" t="str">
        <f>IFERROR(__xludf.DUMMYFUNCTION("""COMPUTED_VALUE"""),"*Nb att*")</f>
        <v>*Nb att*</v>
      </c>
      <c r="F119" s="10" t="str">
        <f>IFERROR(__xludf.DUMMYFUNCTION("""COMPUTED_VALUE"""),"*Att mag*")</f>
        <v>*Att mag*</v>
      </c>
      <c r="G119" s="10" t="str">
        <f>IFERROR(__xludf.DUMMYFUNCTION("""COMPUTED_VALUE"""),"*Att dist*")</f>
        <v>*Att dist*</v>
      </c>
      <c r="H119" s="10" t="str">
        <f>IFERROR(__xludf.DUMMYFUNCTION("""COMPUTED_VALUE"""),"*Vit*")</f>
        <v>*Vit*</v>
      </c>
      <c r="I119" s="10" t="str">
        <f>IFERROR(__xludf.DUMMYFUNCTION("""COMPUTED_VALUE"""),"*VlC*")</f>
        <v>*VlC*</v>
      </c>
      <c r="J119" s="10" t="str">
        <f>IFERROR(__xludf.DUMMYFUNCTION("""COMPUTED_VALUE"""),"*Pouvoir 1*")</f>
        <v>*Pouvoir 1*</v>
      </c>
      <c r="K119" s="10" t="str">
        <f>IFERROR(__xludf.DUMMYFUNCTION("""COMPUTED_VALUE"""),"*Pouvoir 2*")</f>
        <v>*Pouvoir 2*</v>
      </c>
      <c r="L119" s="10" t="str">
        <f>IFERROR(__xludf.DUMMYFUNCTION("""COMPUTED_VALUE"""),"*PV*")</f>
        <v>*PV*</v>
      </c>
      <c r="M119" s="10" t="str">
        <f>IFERROR(__xludf.DUMMYFUNCTION("""COMPUTED_VALUE"""),"*Att*")</f>
        <v>*Att*</v>
      </c>
      <c r="N119" s="10" t="str">
        <f>IFERROR(__xludf.DUMMYFUNCTION("""COMPUTED_VALUE"""),"*Esq*")</f>
        <v>*Esq*</v>
      </c>
      <c r="O119" s="10" t="str">
        <f>IFERROR(__xludf.DUMMYFUNCTION("""COMPUTED_VALUE"""),"*Dégât*")</f>
        <v>*Dégât*</v>
      </c>
      <c r="P119" s="10" t="str">
        <f>IFERROR(__xludf.DUMMYFUNCTION("""COMPUTED_VALUE"""),"*Vue*")</f>
        <v>*Vue*</v>
      </c>
      <c r="Q119" s="10" t="str">
        <f>IFERROR(__xludf.DUMMYFUNCTION("""COMPUTED_VALUE"""),"*Régen*")</f>
        <v>*Régen*</v>
      </c>
      <c r="R119" s="10" t="str">
        <f>IFERROR(__xludf.DUMMYFUNCTION("""COMPUTED_VALUE"""),"*Arm phy*")</f>
        <v>*Arm phy*</v>
      </c>
      <c r="S119" s="10" t="str">
        <f>IFERROR(__xludf.DUMMYFUNCTION("""COMPUTED_VALUE"""),"*Arm mag*")</f>
        <v>*Arm mag*</v>
      </c>
      <c r="T119" s="10" t="str">
        <f>IFERROR(__xludf.DUMMYFUNCTION("""COMPUTED_VALUE"""),"*MM*")</f>
        <v>*MM*</v>
      </c>
      <c r="U119" s="10" t="str">
        <f>IFERROR(__xludf.DUMMYFUNCTION("""COMPUTED_VALUE"""),"*RM*")</f>
        <v>*RM*</v>
      </c>
      <c r="V119" s="10" t="str">
        <f>IFERROR(__xludf.DUMMYFUNCTION("""COMPUTED_VALUE"""),"*DLA*")</f>
        <v>*DLA*</v>
      </c>
      <c r="W119" s="10" t="str">
        <f>IFERROR(__xludf.DUMMYFUNCTION("""COMPUTED_VALUE"""),"*Echant*")</f>
        <v>*Echant*</v>
      </c>
      <c r="X119" s="10" t="str">
        <f>IFERROR(__xludf.DUMMYFUNCTION("""COMPUTED_VALUE"""),"*Vole*")</f>
        <v>*Vole*</v>
      </c>
      <c r="Y119" s="10"/>
      <c r="Z119" s="10"/>
      <c r="AA119" s="10"/>
      <c r="AB119" s="10"/>
      <c r="AC119" s="10"/>
      <c r="AD119" s="10"/>
      <c r="AE119" s="10"/>
      <c r="AF119" s="10"/>
      <c r="AG119" s="10"/>
      <c r="AH119" s="10"/>
    </row>
    <row r="120">
      <c r="A120" s="10">
        <f>IFERROR(__xludf.DUMMYFUNCTION("""COMPUTED_VALUE"""),63.0)</f>
        <v>63</v>
      </c>
      <c r="B120" s="10" t="str">
        <f>IFERROR(__xludf.DUMMYFUNCTION("""COMPUTED_VALUE"""),"Mille-Pattes Geant")</f>
        <v>Mille-Pattes Geant</v>
      </c>
      <c r="C120" s="10" t="str">
        <f>IFERROR(__xludf.DUMMYFUNCTION("""COMPUTED_VALUE"""),"Insecte")</f>
        <v>Insecte</v>
      </c>
      <c r="D120" s="10">
        <f>IFERROR(__xludf.DUMMYFUNCTION("""COMPUTED_VALUE"""),14.0)</f>
        <v>14</v>
      </c>
      <c r="E120" s="10">
        <f>IFERROR(__xludf.DUMMYFUNCTION("""COMPUTED_VALUE"""),1.0)</f>
        <v>1</v>
      </c>
      <c r="F120" s="10" t="str">
        <f>IFERROR(__xludf.DUMMYFUNCTION("""COMPUTED_VALUE"""),"")</f>
        <v/>
      </c>
      <c r="G120" s="10" t="str">
        <f>IFERROR(__xludf.DUMMYFUNCTION("""COMPUTED_VALUE"""),"Non")</f>
        <v>Non</v>
      </c>
      <c r="H120" s="10" t="str">
        <f>IFERROR(__xludf.DUMMYFUNCTION("""COMPUTED_VALUE"""),"Rapide")</f>
        <v>Rapide</v>
      </c>
      <c r="I120" s="10" t="str">
        <f>IFERROR(__xludf.DUMMYFUNCTION("""COMPUTED_VALUE"""),"Non")</f>
        <v>Non</v>
      </c>
      <c r="J120" s="10" t="str">
        <f>IFERROR(__xludf.DUMMYFUNCTION("""COMPUTED_VALUE"""),"Attaque affaiblissante - Toucher")</f>
        <v>Attaque affaiblissante - Toucher</v>
      </c>
      <c r="K120" s="10" t="str">
        <f>IFERROR(__xludf.DUMMYFUNCTION("""COMPUTED_VALUE"""),"-")</f>
        <v>-</v>
      </c>
      <c r="L120" s="10" t="str">
        <f>IFERROR(__xludf.DUMMYFUNCTION("""COMPUTED_VALUE"""),"110 ±40")</f>
        <v>110 ±40</v>
      </c>
      <c r="M120" s="10" t="str">
        <f>IFERROR(__xludf.DUMMYFUNCTION("""COMPUTED_VALUE"""),"8 ±3")</f>
        <v>8 ±3</v>
      </c>
      <c r="N120" s="10" t="str">
        <f>IFERROR(__xludf.DUMMYFUNCTION("""COMPUTED_VALUE"""),"6 ±3")</f>
        <v>6 ±3</v>
      </c>
      <c r="O120" s="10" t="str">
        <f>IFERROR(__xludf.DUMMYFUNCTION("""COMPUTED_VALUE"""),"10 ±3")</f>
        <v>10 ±3</v>
      </c>
      <c r="P120" s="10" t="str">
        <f>IFERROR(__xludf.DUMMYFUNCTION("""COMPUTED_VALUE"""),"3 ±2")</f>
        <v>3 ±2</v>
      </c>
      <c r="Q120" s="10" t="str">
        <f>IFERROR(__xludf.DUMMYFUNCTION("""COMPUTED_VALUE"""),"2 ±1")</f>
        <v>2 ±1</v>
      </c>
      <c r="R120" s="10" t="str">
        <f>IFERROR(__xludf.DUMMYFUNCTION("""COMPUTED_VALUE"""),"6 ±3")</f>
        <v>6 ±3</v>
      </c>
      <c r="S120" s="10" t="str">
        <f>IFERROR(__xludf.DUMMYFUNCTION("""COMPUTED_VALUE"""),"")</f>
        <v/>
      </c>
      <c r="T120" s="10" t="str">
        <f>IFERROR(__xludf.DUMMYFUNCTION("""COMPUTED_VALUE"""),"400 ±300")</f>
        <v>400 ±300</v>
      </c>
      <c r="U120" s="10" t="str">
        <f>IFERROR(__xludf.DUMMYFUNCTION("""COMPUTED_VALUE"""),"200 ±200")</f>
        <v>200 ±200</v>
      </c>
      <c r="V120" s="10" t="str">
        <f>IFERROR(__xludf.DUMMYFUNCTION("""COMPUTED_VALUE"""),"11 ±3")</f>
        <v>11 ±3</v>
      </c>
      <c r="W120" s="10">
        <f>IFERROR(__xludf.DUMMYFUNCTION("""COMPUTED_VALUE"""),47.0)</f>
        <v>47</v>
      </c>
      <c r="X120" s="10" t="str">
        <f>IFERROR(__xludf.DUMMYFUNCTION("""COMPUTED_VALUE"""),"")</f>
        <v/>
      </c>
      <c r="Y120" s="10"/>
      <c r="Z120" s="10"/>
      <c r="AA120" s="10"/>
      <c r="AB120" s="10"/>
      <c r="AC120" s="10"/>
      <c r="AD120" s="10"/>
      <c r="AE120" s="10"/>
      <c r="AF120" s="10"/>
      <c r="AG120" s="10"/>
      <c r="AH120" s="10"/>
    </row>
    <row r="121">
      <c r="A121" s="10">
        <f>IFERROR(__xludf.DUMMYFUNCTION("""COMPUTED_VALUE"""),117.0)</f>
        <v>117</v>
      </c>
      <c r="B121" s="10" t="str">
        <f>IFERROR(__xludf.DUMMYFUNCTION("""COMPUTED_VALUE"""),"Mimique")</f>
        <v>Mimique</v>
      </c>
      <c r="C121" s="10" t="str">
        <f>IFERROR(__xludf.DUMMYFUNCTION("""COMPUTED_VALUE"""),"Monstre")</f>
        <v>Monstre</v>
      </c>
      <c r="D121" s="10">
        <f>IFERROR(__xludf.DUMMYFUNCTION("""COMPUTED_VALUE"""),6.0)</f>
        <v>6</v>
      </c>
      <c r="E121" s="10">
        <f>IFERROR(__xludf.DUMMYFUNCTION("""COMPUTED_VALUE"""),1.0)</f>
        <v>1</v>
      </c>
      <c r="F121" s="10" t="str">
        <f>IFERROR(__xludf.DUMMYFUNCTION("""COMPUTED_VALUE"""),"")</f>
        <v/>
      </c>
      <c r="G121" s="10" t="str">
        <f>IFERROR(__xludf.DUMMYFUNCTION("""COMPUTED_VALUE"""),"Non")</f>
        <v>Non</v>
      </c>
      <c r="H121" s="10" t="str">
        <f>IFERROR(__xludf.DUMMYFUNCTION("""COMPUTED_VALUE"""),"Normale")</f>
        <v>Normale</v>
      </c>
      <c r="I121" s="10" t="str">
        <f>IFERROR(__xludf.DUMMYFUNCTION("""COMPUTED_VALUE"""),"Non")</f>
        <v>Non</v>
      </c>
      <c r="J121" s="10" t="str">
        <f>IFERROR(__xludf.DUMMYFUNCTION("""COMPUTED_VALUE"""),"Attaque gluante - Zone")</f>
        <v>Attaque gluante - Zone</v>
      </c>
      <c r="K121" s="10" t="str">
        <f>IFERROR(__xludf.DUMMYFUNCTION("""COMPUTED_VALUE"""),"-")</f>
        <v>-</v>
      </c>
      <c r="L121" s="10" t="str">
        <f>IFERROR(__xludf.DUMMYFUNCTION("""COMPUTED_VALUE"""),"75 ±30")</f>
        <v>75 ±30</v>
      </c>
      <c r="M121" s="10" t="str">
        <f>IFERROR(__xludf.DUMMYFUNCTION("""COMPUTED_VALUE"""),"7 ±3")</f>
        <v>7 ±3</v>
      </c>
      <c r="N121" s="10" t="str">
        <f>IFERROR(__xludf.DUMMYFUNCTION("""COMPUTED_VALUE"""),"1 ±2")</f>
        <v>1 ±2</v>
      </c>
      <c r="O121" s="10" t="str">
        <f>IFERROR(__xludf.DUMMYFUNCTION("""COMPUTED_VALUE"""),"4 ±2")</f>
        <v>4 ±2</v>
      </c>
      <c r="P121" s="10" t="str">
        <f>IFERROR(__xludf.DUMMYFUNCTION("""COMPUTED_VALUE"""),"3 ±2")</f>
        <v>3 ±2</v>
      </c>
      <c r="Q121" s="10" t="str">
        <f>IFERROR(__xludf.DUMMYFUNCTION("""COMPUTED_VALUE"""),"2 ±1")</f>
        <v>2 ±1</v>
      </c>
      <c r="R121" s="10" t="str">
        <f>IFERROR(__xludf.DUMMYFUNCTION("""COMPUTED_VALUE"""),"15 ±3")</f>
        <v>15 ±3</v>
      </c>
      <c r="S121" s="10" t="str">
        <f>IFERROR(__xludf.DUMMYFUNCTION("""COMPUTED_VALUE"""),"")</f>
        <v/>
      </c>
      <c r="T121" s="10" t="str">
        <f>IFERROR(__xludf.DUMMYFUNCTION("""COMPUTED_VALUE"""),"200 ±200")</f>
        <v>200 ±200</v>
      </c>
      <c r="U121" s="10" t="str">
        <f>IFERROR(__xludf.DUMMYFUNCTION("""COMPUTED_VALUE"""),"300 ±200")</f>
        <v>300 ±200</v>
      </c>
      <c r="V121" s="10" t="str">
        <f>IFERROR(__xludf.DUMMYFUNCTION("""COMPUTED_VALUE"""),"12 ±2")</f>
        <v>12 ±2</v>
      </c>
      <c r="W121" s="10">
        <f>IFERROR(__xludf.DUMMYFUNCTION("""COMPUTED_VALUE"""),18.0)</f>
        <v>18</v>
      </c>
      <c r="X121" s="10" t="str">
        <f>IFERROR(__xludf.DUMMYFUNCTION("""COMPUTED_VALUE"""),"")</f>
        <v/>
      </c>
      <c r="Y121" s="10"/>
      <c r="Z121" s="10"/>
      <c r="AA121" s="10"/>
      <c r="AB121" s="10"/>
      <c r="AC121" s="10"/>
      <c r="AD121" s="10"/>
      <c r="AE121" s="10"/>
      <c r="AF121" s="10"/>
      <c r="AG121" s="10"/>
      <c r="AH121" s="10"/>
    </row>
    <row r="122">
      <c r="A122" s="10">
        <f>IFERROR(__xludf.DUMMYFUNCTION("""COMPUTED_VALUE"""),44.0)</f>
        <v>44</v>
      </c>
      <c r="B122" s="10" t="str">
        <f>IFERROR(__xludf.DUMMYFUNCTION("""COMPUTED_VALUE"""),"Minotaure")</f>
        <v>Minotaure</v>
      </c>
      <c r="C122" s="10" t="str">
        <f>IFERROR(__xludf.DUMMYFUNCTION("""COMPUTED_VALUE"""),"Humanoïde")</f>
        <v>Humanoïde</v>
      </c>
      <c r="D122" s="10">
        <f>IFERROR(__xludf.DUMMYFUNCTION("""COMPUTED_VALUE"""),7.0)</f>
        <v>7</v>
      </c>
      <c r="E122" s="10">
        <f>IFERROR(__xludf.DUMMYFUNCTION("""COMPUTED_VALUE"""),1.0)</f>
        <v>1</v>
      </c>
      <c r="F122" s="10" t="str">
        <f>IFERROR(__xludf.DUMMYFUNCTION("""COMPUTED_VALUE"""),"")</f>
        <v/>
      </c>
      <c r="G122" s="10" t="str">
        <f>IFERROR(__xludf.DUMMYFUNCTION("""COMPUTED_VALUE"""),"Non")</f>
        <v>Non</v>
      </c>
      <c r="H122" s="10" t="str">
        <f>IFERROR(__xludf.DUMMYFUNCTION("""COMPUTED_VALUE"""),"Normale")</f>
        <v>Normale</v>
      </c>
      <c r="I122" s="10" t="str">
        <f>IFERROR(__xludf.DUMMYFUNCTION("""COMPUTED_VALUE"""),"Non")</f>
        <v>Non</v>
      </c>
      <c r="J122" s="10" t="str">
        <f>IFERROR(__xludf.DUMMYFUNCTION("""COMPUTED_VALUE"""),"Coup perforant - Toucher")</f>
        <v>Coup perforant - Toucher</v>
      </c>
      <c r="K122" s="10" t="str">
        <f>IFERROR(__xludf.DUMMYFUNCTION("""COMPUTED_VALUE"""),"-")</f>
        <v>-</v>
      </c>
      <c r="L122" s="10" t="str">
        <f>IFERROR(__xludf.DUMMYFUNCTION("""COMPUTED_VALUE"""),"80 ±30")</f>
        <v>80 ±30</v>
      </c>
      <c r="M122" s="10" t="str">
        <f>IFERROR(__xludf.DUMMYFUNCTION("""COMPUTED_VALUE"""),"6 ±3")</f>
        <v>6 ±3</v>
      </c>
      <c r="N122" s="10" t="str">
        <f>IFERROR(__xludf.DUMMYFUNCTION("""COMPUTED_VALUE"""),"3 ±2")</f>
        <v>3 ±2</v>
      </c>
      <c r="O122" s="10" t="str">
        <f>IFERROR(__xludf.DUMMYFUNCTION("""COMPUTED_VALUE"""),"5 ± 3")</f>
        <v>5 ± 3</v>
      </c>
      <c r="P122" s="10" t="str">
        <f>IFERROR(__xludf.DUMMYFUNCTION("""COMPUTED_VALUE"""),"2 ±2")</f>
        <v>2 ±2</v>
      </c>
      <c r="Q122" s="10" t="str">
        <f>IFERROR(__xludf.DUMMYFUNCTION("""COMPUTED_VALUE"""),"2 ±1")</f>
        <v>2 ±1</v>
      </c>
      <c r="R122" s="10" t="str">
        <f>IFERROR(__xludf.DUMMYFUNCTION("""COMPUTED_VALUE"""),"1 ±1")</f>
        <v>1 ±1</v>
      </c>
      <c r="S122" s="10" t="str">
        <f>IFERROR(__xludf.DUMMYFUNCTION("""COMPUTED_VALUE"""),"")</f>
        <v/>
      </c>
      <c r="T122" s="10" t="str">
        <f>IFERROR(__xludf.DUMMYFUNCTION("""COMPUTED_VALUE"""),"300 ±300")</f>
        <v>300 ±300</v>
      </c>
      <c r="U122" s="10" t="str">
        <f>IFERROR(__xludf.DUMMYFUNCTION("""COMPUTED_VALUE"""),"200 ±300")</f>
        <v>200 ±300</v>
      </c>
      <c r="V122" s="10" t="str">
        <f>IFERROR(__xludf.DUMMYFUNCTION("""COMPUTED_VALUE"""),"10 ±3")</f>
        <v>10 ±3</v>
      </c>
      <c r="W122" s="10">
        <f>IFERROR(__xludf.DUMMYFUNCTION("""COMPUTED_VALUE"""),29.0)</f>
        <v>29</v>
      </c>
      <c r="X122" s="10" t="str">
        <f>IFERROR(__xludf.DUMMYFUNCTION("""COMPUTED_VALUE"""),"")</f>
        <v/>
      </c>
      <c r="Y122" s="10"/>
      <c r="Z122" s="10"/>
      <c r="AA122" s="10"/>
      <c r="AB122" s="10"/>
      <c r="AC122" s="10"/>
      <c r="AD122" s="10"/>
      <c r="AE122" s="10"/>
      <c r="AF122" s="10"/>
      <c r="AG122" s="10"/>
      <c r="AH122" s="10"/>
    </row>
    <row r="123">
      <c r="A123" s="10" t="str">
        <f>IFERROR(__xludf.DUMMYFUNCTION("""COMPUTED_VALUE"""),"")</f>
        <v/>
      </c>
      <c r="B123" s="10" t="str">
        <f>IFERROR(__xludf.DUMMYFUNCTION("""COMPUTED_VALUE"""),"Mohrg")</f>
        <v>Mohrg</v>
      </c>
      <c r="C123" s="10" t="str">
        <f>IFERROR(__xludf.DUMMYFUNCTION("""COMPUTED_VALUE"""),"Mort-Vivant")</f>
        <v>Mort-Vivant</v>
      </c>
      <c r="D123" s="10">
        <f>IFERROR(__xludf.DUMMYFUNCTION("""COMPUTED_VALUE"""),35.0)</f>
        <v>35</v>
      </c>
      <c r="E123" s="10">
        <f>IFERROR(__xludf.DUMMYFUNCTION("""COMPUTED_VALUE"""),1.0)</f>
        <v>1</v>
      </c>
      <c r="F123" s="10" t="str">
        <f>IFERROR(__xludf.DUMMYFUNCTION("""COMPUTED_VALUE"""),"Oui")</f>
        <v>Oui</v>
      </c>
      <c r="G123" s="10" t="str">
        <f>IFERROR(__xludf.DUMMYFUNCTION("""COMPUTED_VALUE"""),"Oui")</f>
        <v>Oui</v>
      </c>
      <c r="H123" s="10" t="str">
        <f>IFERROR(__xludf.DUMMYFUNCTION("""COMPUTED_VALUE"""),"Rapide")</f>
        <v>Rapide</v>
      </c>
      <c r="I123" s="10" t="str">
        <f>IFERROR(__xludf.DUMMYFUNCTION("""COMPUTED_VALUE"""),"Oui")</f>
        <v>Oui</v>
      </c>
      <c r="J123" s="10" t="str">
        <f>IFERROR(__xludf.DUMMYFUNCTION("""COMPUTED_VALUE"""),"Mortification - Auto")</f>
        <v>Mortification - Auto</v>
      </c>
      <c r="K123" s="10" t="str">
        <f>IFERROR(__xludf.DUMMYFUNCTION("""COMPUTED_VALUE"""),"-")</f>
        <v>-</v>
      </c>
      <c r="L123" s="10" t="str">
        <f>IFERROR(__xludf.DUMMYFUNCTION("""COMPUTED_VALUE"""),"280 ±30")</f>
        <v>280 ±30</v>
      </c>
      <c r="M123" s="10" t="str">
        <f>IFERROR(__xludf.DUMMYFUNCTION("""COMPUTED_VALUE"""),"1 ±3")</f>
        <v>1 ±3</v>
      </c>
      <c r="N123" s="10" t="str">
        <f>IFERROR(__xludf.DUMMYFUNCTION("""COMPUTED_VALUE"""),"28 ±3")</f>
        <v>28 ±3</v>
      </c>
      <c r="O123" s="10" t="str">
        <f>IFERROR(__xludf.DUMMYFUNCTION("""COMPUTED_VALUE"""),"3 ±2")</f>
        <v>3 ±2</v>
      </c>
      <c r="P123" s="10" t="str">
        <f>IFERROR(__xludf.DUMMYFUNCTION("""COMPUTED_VALUE"""),"4 ±3")</f>
        <v>4 ±3</v>
      </c>
      <c r="Q123" s="10" t="str">
        <f>IFERROR(__xludf.DUMMYFUNCTION("""COMPUTED_VALUE"""),"23 ±1")</f>
        <v>23 ±1</v>
      </c>
      <c r="R123" s="10" t="str">
        <f>IFERROR(__xludf.DUMMYFUNCTION("""COMPUTED_VALUE"""),"4 ±3")</f>
        <v>4 ±3</v>
      </c>
      <c r="S123" s="10" t="str">
        <f>IFERROR(__xludf.DUMMYFUNCTION("""COMPUTED_VALUE"""),"28 ±3")</f>
        <v>28 ±3</v>
      </c>
      <c r="T123" s="10" t="str">
        <f>IFERROR(__xludf.DUMMYFUNCTION("""COMPUTED_VALUE"""),"5200 ±300")</f>
        <v>5200 ±300</v>
      </c>
      <c r="U123" s="10" t="str">
        <f>IFERROR(__xludf.DUMMYFUNCTION("""COMPUTED_VALUE"""),"6000 ±300")</f>
        <v>6000 ±300</v>
      </c>
      <c r="V123" s="10">
        <f>IFERROR(__xludf.DUMMYFUNCTION("""COMPUTED_VALUE"""),8.0)</f>
        <v>8</v>
      </c>
      <c r="W123" s="10" t="str">
        <f>IFERROR(__xludf.DUMMYFUNCTION("""COMPUTED_VALUE"""),"")</f>
        <v/>
      </c>
      <c r="X123" s="10" t="str">
        <f>IFERROR(__xludf.DUMMYFUNCTION("""COMPUTED_VALUE"""),"")</f>
        <v/>
      </c>
      <c r="Y123" s="10"/>
      <c r="Z123" s="10"/>
      <c r="AA123" s="10"/>
      <c r="AB123" s="10"/>
      <c r="AC123" s="10"/>
      <c r="AD123" s="10"/>
      <c r="AE123" s="10"/>
      <c r="AF123" s="10"/>
      <c r="AG123" s="10"/>
      <c r="AH123" s="10"/>
    </row>
    <row r="124">
      <c r="A124" s="10">
        <f>IFERROR(__xludf.DUMMYFUNCTION("""COMPUTED_VALUE"""),102.0)</f>
        <v>102</v>
      </c>
      <c r="B124" s="10" t="str">
        <f>IFERROR(__xludf.DUMMYFUNCTION("""COMPUTED_VALUE"""),"Molosse Satanique")</f>
        <v>Molosse Satanique</v>
      </c>
      <c r="C124" s="10" t="str">
        <f>IFERROR(__xludf.DUMMYFUNCTION("""COMPUTED_VALUE"""),"Démon")</f>
        <v>Démon</v>
      </c>
      <c r="D124" s="10">
        <f>IFERROR(__xludf.DUMMYFUNCTION("""COMPUTED_VALUE"""),8.0)</f>
        <v>8</v>
      </c>
      <c r="E124" s="10">
        <f>IFERROR(__xludf.DUMMYFUNCTION("""COMPUTED_VALUE"""),1.0)</f>
        <v>1</v>
      </c>
      <c r="F124" s="10" t="str">
        <f>IFERROR(__xludf.DUMMYFUNCTION("""COMPUTED_VALUE"""),"Non")</f>
        <v>Non</v>
      </c>
      <c r="G124" s="10" t="str">
        <f>IFERROR(__xludf.DUMMYFUNCTION("""COMPUTED_VALUE"""),"Non")</f>
        <v>Non</v>
      </c>
      <c r="H124" s="10" t="str">
        <f>IFERROR(__xludf.DUMMYFUNCTION("""COMPUTED_VALUE"""),"Normale")</f>
        <v>Normale</v>
      </c>
      <c r="I124" s="10" t="str">
        <f>IFERROR(__xludf.DUMMYFUNCTION("""COMPUTED_VALUE"""),"Oui")</f>
        <v>Oui</v>
      </c>
      <c r="J124" s="10" t="str">
        <f>IFERROR(__xludf.DUMMYFUNCTION("""COMPUTED_VALUE"""),"Souffle de feu - Auto")</f>
        <v>Souffle de feu - Auto</v>
      </c>
      <c r="K124" s="10" t="str">
        <f>IFERROR(__xludf.DUMMYFUNCTION("""COMPUTED_VALUE"""),"-")</f>
        <v>-</v>
      </c>
      <c r="L124" s="10" t="str">
        <f>IFERROR(__xludf.DUMMYFUNCTION("""COMPUTED_VALUE"""),"70 ±30")</f>
        <v>70 ±30</v>
      </c>
      <c r="M124" s="10" t="str">
        <f>IFERROR(__xludf.DUMMYFUNCTION("""COMPUTED_VALUE"""),"7 ±3")</f>
        <v>7 ±3</v>
      </c>
      <c r="N124" s="10" t="str">
        <f>IFERROR(__xludf.DUMMYFUNCTION("""COMPUTED_VALUE"""),"6 ±3")</f>
        <v>6 ±3</v>
      </c>
      <c r="O124" s="10" t="str">
        <f>IFERROR(__xludf.DUMMYFUNCTION("""COMPUTED_VALUE"""),"3 ±2")</f>
        <v>3 ±2</v>
      </c>
      <c r="P124" s="10" t="str">
        <f>IFERROR(__xludf.DUMMYFUNCTION("""COMPUTED_VALUE"""),"4 ±3")</f>
        <v>4 ±3</v>
      </c>
      <c r="Q124" s="10" t="str">
        <f>IFERROR(__xludf.DUMMYFUNCTION("""COMPUTED_VALUE"""),"1 ±1")</f>
        <v>1 ±1</v>
      </c>
      <c r="R124" s="10" t="str">
        <f>IFERROR(__xludf.DUMMYFUNCTION("""COMPUTED_VALUE"""),"5 ±3")</f>
        <v>5 ±3</v>
      </c>
      <c r="S124" s="10" t="str">
        <f>IFERROR(__xludf.DUMMYFUNCTION("""COMPUTED_VALUE"""),"")</f>
        <v/>
      </c>
      <c r="T124" s="10" t="str">
        <f>IFERROR(__xludf.DUMMYFUNCTION("""COMPUTED_VALUE"""),"100 ±100")</f>
        <v>100 ±100</v>
      </c>
      <c r="U124" s="10" t="str">
        <f>IFERROR(__xludf.DUMMYFUNCTION("""COMPUTED_VALUE"""),"500 ±300")</f>
        <v>500 ±300</v>
      </c>
      <c r="V124" s="10" t="str">
        <f>IFERROR(__xludf.DUMMYFUNCTION("""COMPUTED_VALUE"""),"12 ±4")</f>
        <v>12 ±4</v>
      </c>
      <c r="W124" s="10">
        <f>IFERROR(__xludf.DUMMYFUNCTION("""COMPUTED_VALUE"""),44.0)</f>
        <v>44</v>
      </c>
      <c r="X124" s="10" t="str">
        <f>IFERROR(__xludf.DUMMYFUNCTION("""COMPUTED_VALUE"""),"")</f>
        <v/>
      </c>
      <c r="Y124" s="10"/>
      <c r="Z124" s="10"/>
      <c r="AA124" s="10"/>
      <c r="AB124" s="10"/>
      <c r="AC124" s="10"/>
      <c r="AD124" s="10"/>
      <c r="AE124" s="10"/>
      <c r="AF124" s="10"/>
      <c r="AG124" s="10"/>
      <c r="AH124" s="10"/>
    </row>
    <row r="125">
      <c r="A125" s="10">
        <f>IFERROR(__xludf.DUMMYFUNCTION("""COMPUTED_VALUE"""),2.0)</f>
        <v>2</v>
      </c>
      <c r="B125" s="10" t="str">
        <f>IFERROR(__xludf.DUMMYFUNCTION("""COMPUTED_VALUE"""),"Momie")</f>
        <v>Momie</v>
      </c>
      <c r="C125" s="10" t="str">
        <f>IFERROR(__xludf.DUMMYFUNCTION("""COMPUTED_VALUE"""),"Mort-Vivant")</f>
        <v>Mort-Vivant</v>
      </c>
      <c r="D125" s="10">
        <f>IFERROR(__xludf.DUMMYFUNCTION("""COMPUTED_VALUE"""),4.0)</f>
        <v>4</v>
      </c>
      <c r="E125" s="10">
        <f>IFERROR(__xludf.DUMMYFUNCTION("""COMPUTED_VALUE"""),1.0)</f>
        <v>1</v>
      </c>
      <c r="F125" s="10" t="str">
        <f>IFERROR(__xludf.DUMMYFUNCTION("""COMPUTED_VALUE"""),"Non")</f>
        <v>Non</v>
      </c>
      <c r="G125" s="10" t="str">
        <f>IFERROR(__xludf.DUMMYFUNCTION("""COMPUTED_VALUE"""),"Non")</f>
        <v>Non</v>
      </c>
      <c r="H125" s="10" t="str">
        <f>IFERROR(__xludf.DUMMYFUNCTION("""COMPUTED_VALUE"""),"Lente")</f>
        <v>Lente</v>
      </c>
      <c r="I125" s="10" t="str">
        <f>IFERROR(__xludf.DUMMYFUNCTION("""COMPUTED_VALUE"""),"Oui")</f>
        <v>Oui</v>
      </c>
      <c r="J125" s="10" t="str">
        <f>IFERROR(__xludf.DUMMYFUNCTION("""COMPUTED_VALUE"""),"Attaque affaiblissante - Toucher")</f>
        <v>Attaque affaiblissante - Toucher</v>
      </c>
      <c r="K125" s="10" t="str">
        <f>IFERROR(__xludf.DUMMYFUNCTION("""COMPUTED_VALUE"""),"-")</f>
        <v>-</v>
      </c>
      <c r="L125" s="10" t="str">
        <f>IFERROR(__xludf.DUMMYFUNCTION("""COMPUTED_VALUE"""),"50 ±25")</f>
        <v>50 ±25</v>
      </c>
      <c r="M125" s="10" t="str">
        <f>IFERROR(__xludf.DUMMYFUNCTION("""COMPUTED_VALUE"""),"4 ±2")</f>
        <v>4 ±2</v>
      </c>
      <c r="N125" s="10" t="str">
        <f>IFERROR(__xludf.DUMMYFUNCTION("""COMPUTED_VALUE"""),"3 ±2")</f>
        <v>3 ±2</v>
      </c>
      <c r="O125" s="10" t="str">
        <f>IFERROR(__xludf.DUMMYFUNCTION("""COMPUTED_VALUE"""),"6 ±3")</f>
        <v>6 ±3</v>
      </c>
      <c r="P125" s="10" t="str">
        <f>IFERROR(__xludf.DUMMYFUNCTION("""COMPUTED_VALUE"""),"2 ±2")</f>
        <v>2 ±2</v>
      </c>
      <c r="Q125" s="10" t="str">
        <f>IFERROR(__xludf.DUMMYFUNCTION("""COMPUTED_VALUE"""),"1 ±1")</f>
        <v>1 ±1</v>
      </c>
      <c r="R125" s="10" t="str">
        <f>IFERROR(__xludf.DUMMYFUNCTION("""COMPUTED_VALUE"""),"1 ±1")</f>
        <v>1 ±1</v>
      </c>
      <c r="S125" s="10" t="str">
        <f>IFERROR(__xludf.DUMMYFUNCTION("""COMPUTED_VALUE"""),"")</f>
        <v/>
      </c>
      <c r="T125" s="10" t="str">
        <f>IFERROR(__xludf.DUMMYFUNCTION("""COMPUTED_VALUE"""),"300 ±300")</f>
        <v>300 ±300</v>
      </c>
      <c r="U125" s="10" t="str">
        <f>IFERROR(__xludf.DUMMYFUNCTION("""COMPUTED_VALUE"""),"200 ±200")</f>
        <v>200 ±200</v>
      </c>
      <c r="V125" s="10" t="str">
        <f>IFERROR(__xludf.DUMMYFUNCTION("""COMPUTED_VALUE"""),"11 ±3")</f>
        <v>11 ±3</v>
      </c>
      <c r="W125" s="10">
        <f>IFERROR(__xludf.DUMMYFUNCTION("""COMPUTED_VALUE"""),17.0)</f>
        <v>17</v>
      </c>
      <c r="X125" s="10" t="str">
        <f>IFERROR(__xludf.DUMMYFUNCTION("""COMPUTED_VALUE"""),"")</f>
        <v/>
      </c>
      <c r="Y125" s="10"/>
      <c r="Z125" s="10"/>
      <c r="AA125" s="10"/>
      <c r="AB125" s="10"/>
      <c r="AC125" s="10"/>
      <c r="AD125" s="10"/>
      <c r="AE125" s="10"/>
      <c r="AF125" s="10"/>
      <c r="AG125" s="10"/>
      <c r="AH125" s="10"/>
    </row>
    <row r="126">
      <c r="A126" s="10">
        <f>IFERROR(__xludf.DUMMYFUNCTION("""COMPUTED_VALUE"""),105.0)</f>
        <v>105</v>
      </c>
      <c r="B126" s="10" t="str">
        <f>IFERROR(__xludf.DUMMYFUNCTION("""COMPUTED_VALUE"""),"Monstre Rouilleur")</f>
        <v>Monstre Rouilleur</v>
      </c>
      <c r="C126" s="10" t="str">
        <f>IFERROR(__xludf.DUMMYFUNCTION("""COMPUTED_VALUE"""),"Monstre")</f>
        <v>Monstre</v>
      </c>
      <c r="D126" s="10">
        <f>IFERROR(__xludf.DUMMYFUNCTION("""COMPUTED_VALUE"""),3.0)</f>
        <v>3</v>
      </c>
      <c r="E126" s="10">
        <f>IFERROR(__xludf.DUMMYFUNCTION("""COMPUTED_VALUE"""),1.0)</f>
        <v>1</v>
      </c>
      <c r="F126" s="10" t="str">
        <f>IFERROR(__xludf.DUMMYFUNCTION("""COMPUTED_VALUE"""),"")</f>
        <v/>
      </c>
      <c r="G126" s="10" t="str">
        <f>IFERROR(__xludf.DUMMYFUNCTION("""COMPUTED_VALUE"""),"Non")</f>
        <v>Non</v>
      </c>
      <c r="H126" s="10" t="str">
        <f>IFERROR(__xludf.DUMMYFUNCTION("""COMPUTED_VALUE"""),"Normale")</f>
        <v>Normale</v>
      </c>
      <c r="I126" s="10" t="str">
        <f>IFERROR(__xludf.DUMMYFUNCTION("""COMPUTED_VALUE"""),"Non")</f>
        <v>Non</v>
      </c>
      <c r="J126" s="10" t="str">
        <f>IFERROR(__xludf.DUMMYFUNCTION("""COMPUTED_VALUE"""),"Acide - Zone")</f>
        <v>Acide - Zone</v>
      </c>
      <c r="K126" s="10" t="str">
        <f>IFERROR(__xludf.DUMMYFUNCTION("""COMPUTED_VALUE"""),"Grignotage")</f>
        <v>Grignotage</v>
      </c>
      <c r="L126" s="10" t="str">
        <f>IFERROR(__xludf.DUMMYFUNCTION("""COMPUTED_VALUE"""),"35 ±30")</f>
        <v>35 ±30</v>
      </c>
      <c r="M126" s="10" t="str">
        <f>IFERROR(__xludf.DUMMYFUNCTION("""COMPUTED_VALUE"""),"6 ±3")</f>
        <v>6 ±3</v>
      </c>
      <c r="N126" s="10" t="str">
        <f>IFERROR(__xludf.DUMMYFUNCTION("""COMPUTED_VALUE"""),"3 ±2")</f>
        <v>3 ±2</v>
      </c>
      <c r="O126" s="10" t="str">
        <f>IFERROR(__xludf.DUMMYFUNCTION("""COMPUTED_VALUE"""),"4 ±3")</f>
        <v>4 ±3</v>
      </c>
      <c r="P126" s="10" t="str">
        <f>IFERROR(__xludf.DUMMYFUNCTION("""COMPUTED_VALUE"""),"3 ±2")</f>
        <v>3 ±2</v>
      </c>
      <c r="Q126" s="10" t="str">
        <f>IFERROR(__xludf.DUMMYFUNCTION("""COMPUTED_VALUE"""),"1 ±1")</f>
        <v>1 ±1</v>
      </c>
      <c r="R126" s="10" t="str">
        <f>IFERROR(__xludf.DUMMYFUNCTION("""COMPUTED_VALUE"""),"1 ±2")</f>
        <v>1 ±2</v>
      </c>
      <c r="S126" s="10" t="str">
        <f>IFERROR(__xludf.DUMMYFUNCTION("""COMPUTED_VALUE"""),"")</f>
        <v/>
      </c>
      <c r="T126" s="10" t="str">
        <f>IFERROR(__xludf.DUMMYFUNCTION("""COMPUTED_VALUE"""),"100 ±200")</f>
        <v>100 ±200</v>
      </c>
      <c r="U126" s="10" t="str">
        <f>IFERROR(__xludf.DUMMYFUNCTION("""COMPUTED_VALUE"""),"100 ±100")</f>
        <v>100 ±100</v>
      </c>
      <c r="V126" s="10" t="str">
        <f>IFERROR(__xludf.DUMMYFUNCTION("""COMPUTED_VALUE"""),"11 ±3")</f>
        <v>11 ±3</v>
      </c>
      <c r="W126" s="10">
        <f>IFERROR(__xludf.DUMMYFUNCTION("""COMPUTED_VALUE"""),18.0)</f>
        <v>18</v>
      </c>
      <c r="X126" s="10" t="str">
        <f>IFERROR(__xludf.DUMMYFUNCTION("""COMPUTED_VALUE"""),"")</f>
        <v/>
      </c>
      <c r="Y126" s="10"/>
      <c r="Z126" s="10"/>
      <c r="AA126" s="10"/>
      <c r="AB126" s="10"/>
      <c r="AC126" s="10"/>
      <c r="AD126" s="10"/>
      <c r="AE126" s="10"/>
      <c r="AF126" s="10"/>
      <c r="AG126" s="10"/>
      <c r="AH126" s="10"/>
    </row>
    <row r="127">
      <c r="A127" s="10">
        <f>IFERROR(__xludf.DUMMYFUNCTION("""COMPUTED_VALUE"""),193.0)</f>
        <v>193</v>
      </c>
      <c r="B127" s="10" t="str">
        <f>IFERROR(__xludf.DUMMYFUNCTION("""COMPUTED_VALUE"""),"Mouch'oo")</f>
        <v>Mouch'oo</v>
      </c>
      <c r="C127" s="10" t="str">
        <f>IFERROR(__xludf.DUMMYFUNCTION("""COMPUTED_VALUE"""),"Monstre")</f>
        <v>Monstre</v>
      </c>
      <c r="D127" s="10">
        <f>IFERROR(__xludf.DUMMYFUNCTION("""COMPUTED_VALUE"""),14.0)</f>
        <v>14</v>
      </c>
      <c r="E127" s="10">
        <f>IFERROR(__xludf.DUMMYFUNCTION("""COMPUTED_VALUE"""),1.0)</f>
        <v>1</v>
      </c>
      <c r="F127" s="10" t="str">
        <f>IFERROR(__xludf.DUMMYFUNCTION("""COMPUTED_VALUE"""),"")</f>
        <v/>
      </c>
      <c r="G127" s="10" t="str">
        <f>IFERROR(__xludf.DUMMYFUNCTION("""COMPUTED_VALUE"""),"Non")</f>
        <v>Non</v>
      </c>
      <c r="H127" s="10" t="str">
        <f>IFERROR(__xludf.DUMMYFUNCTION("""COMPUTED_VALUE"""),"Normale")</f>
        <v>Normale</v>
      </c>
      <c r="I127" s="10" t="str">
        <f>IFERROR(__xludf.DUMMYFUNCTION("""COMPUTED_VALUE"""),"Non")</f>
        <v>Non</v>
      </c>
      <c r="J127" s="10" t="str">
        <f>IFERROR(__xludf.DUMMYFUNCTION("""COMPUTED_VALUE"""),"Vol de mouche")</f>
        <v>Vol de mouche</v>
      </c>
      <c r="K127" s="10" t="str">
        <f>IFERROR(__xludf.DUMMYFUNCTION("""COMPUTED_VALUE"""),"Mort : libération des mouches")</f>
        <v>Mort : libération des mouches</v>
      </c>
      <c r="L127" s="10" t="str">
        <f>IFERROR(__xludf.DUMMYFUNCTION("""COMPUTED_VALUE"""),"120 ±35")</f>
        <v>120 ±35</v>
      </c>
      <c r="M127" s="10" t="str">
        <f>IFERROR(__xludf.DUMMYFUNCTION("""COMPUTED_VALUE"""),"7 ±3")</f>
        <v>7 ±3</v>
      </c>
      <c r="N127" s="10" t="str">
        <f>IFERROR(__xludf.DUMMYFUNCTION("""COMPUTED_VALUE"""),"11 ±4")</f>
        <v>11 ±4</v>
      </c>
      <c r="O127" s="10" t="str">
        <f>IFERROR(__xludf.DUMMYFUNCTION("""COMPUTED_VALUE"""),"7 ±3")</f>
        <v>7 ±3</v>
      </c>
      <c r="P127" s="10" t="str">
        <f>IFERROR(__xludf.DUMMYFUNCTION("""COMPUTED_VALUE"""),"3 ±2")</f>
        <v>3 ±2</v>
      </c>
      <c r="Q127" s="10" t="str">
        <f>IFERROR(__xludf.DUMMYFUNCTION("""COMPUTED_VALUE"""),"1 ±1")</f>
        <v>1 ±1</v>
      </c>
      <c r="R127" s="10" t="str">
        <f>IFERROR(__xludf.DUMMYFUNCTION("""COMPUTED_VALUE"""),"5 ±3")</f>
        <v>5 ±3</v>
      </c>
      <c r="S127" s="10" t="str">
        <f>IFERROR(__xludf.DUMMYFUNCTION("""COMPUTED_VALUE"""),"")</f>
        <v/>
      </c>
      <c r="T127" s="10" t="str">
        <f>IFERROR(__xludf.DUMMYFUNCTION("""COMPUTED_VALUE"""),"100 ±100")</f>
        <v>100 ±100</v>
      </c>
      <c r="U127" s="10" t="str">
        <f>IFERROR(__xludf.DUMMYFUNCTION("""COMPUTED_VALUE"""),"1000 ±400")</f>
        <v>1000 ±400</v>
      </c>
      <c r="V127" s="10" t="str">
        <f>IFERROR(__xludf.DUMMYFUNCTION("""COMPUTED_VALUE"""),"12 ±4")</f>
        <v>12 ±4</v>
      </c>
      <c r="W127" s="10">
        <f>IFERROR(__xludf.DUMMYFUNCTION("""COMPUTED_VALUE"""),59.0)</f>
        <v>59</v>
      </c>
      <c r="X127" s="10" t="str">
        <f>IFERROR(__xludf.DUMMYFUNCTION("""COMPUTED_VALUE"""),"")</f>
        <v/>
      </c>
      <c r="Y127" s="10"/>
      <c r="Z127" s="10"/>
      <c r="AA127" s="10"/>
      <c r="AB127" s="10"/>
      <c r="AC127" s="10"/>
      <c r="AD127" s="10"/>
      <c r="AE127" s="10"/>
      <c r="AF127" s="10"/>
      <c r="AG127" s="10"/>
      <c r="AH127" s="10"/>
    </row>
    <row r="128">
      <c r="A128" s="10" t="str">
        <f>IFERROR(__xludf.DUMMYFUNCTION("""COMPUTED_VALUE"""),"*Id*")</f>
        <v>*Id*</v>
      </c>
      <c r="B128" s="10" t="str">
        <f>IFERROR(__xludf.DUMMYFUNCTION("""COMPUTED_VALUE"""),"*Nom*")</f>
        <v>*Nom*</v>
      </c>
      <c r="C128" s="10" t="str">
        <f>IFERROR(__xludf.DUMMYFUNCTION("""COMPUTED_VALUE"""),"*Famille*")</f>
        <v>*Famille*</v>
      </c>
      <c r="D128" s="10" t="str">
        <f>IFERROR(__xludf.DUMMYFUNCTION("""COMPUTED_VALUE"""),"*Niv*")</f>
        <v>*Niv*</v>
      </c>
      <c r="E128" s="10" t="str">
        <f>IFERROR(__xludf.DUMMYFUNCTION("""COMPUTED_VALUE"""),"*Nb att*")</f>
        <v>*Nb att*</v>
      </c>
      <c r="F128" s="10" t="str">
        <f>IFERROR(__xludf.DUMMYFUNCTION("""COMPUTED_VALUE"""),"*Att mag*")</f>
        <v>*Att mag*</v>
      </c>
      <c r="G128" s="10" t="str">
        <f>IFERROR(__xludf.DUMMYFUNCTION("""COMPUTED_VALUE"""),"*Att dist*")</f>
        <v>*Att dist*</v>
      </c>
      <c r="H128" s="10" t="str">
        <f>IFERROR(__xludf.DUMMYFUNCTION("""COMPUTED_VALUE"""),"*Vit*")</f>
        <v>*Vit*</v>
      </c>
      <c r="I128" s="10" t="str">
        <f>IFERROR(__xludf.DUMMYFUNCTION("""COMPUTED_VALUE"""),"*VlC*")</f>
        <v>*VlC*</v>
      </c>
      <c r="J128" s="10" t="str">
        <f>IFERROR(__xludf.DUMMYFUNCTION("""COMPUTED_VALUE"""),"*Pouvoir 1*")</f>
        <v>*Pouvoir 1*</v>
      </c>
      <c r="K128" s="10" t="str">
        <f>IFERROR(__xludf.DUMMYFUNCTION("""COMPUTED_VALUE"""),"*Pouvoir 2*")</f>
        <v>*Pouvoir 2*</v>
      </c>
      <c r="L128" s="10" t="str">
        <f>IFERROR(__xludf.DUMMYFUNCTION("""COMPUTED_VALUE"""),"*PV*")</f>
        <v>*PV*</v>
      </c>
      <c r="M128" s="10" t="str">
        <f>IFERROR(__xludf.DUMMYFUNCTION("""COMPUTED_VALUE"""),"*Att*")</f>
        <v>*Att*</v>
      </c>
      <c r="N128" s="10" t="str">
        <f>IFERROR(__xludf.DUMMYFUNCTION("""COMPUTED_VALUE"""),"*Esq*")</f>
        <v>*Esq*</v>
      </c>
      <c r="O128" s="10" t="str">
        <f>IFERROR(__xludf.DUMMYFUNCTION("""COMPUTED_VALUE"""),"*Dégât*")</f>
        <v>*Dégât*</v>
      </c>
      <c r="P128" s="10" t="str">
        <f>IFERROR(__xludf.DUMMYFUNCTION("""COMPUTED_VALUE"""),"*Vue*")</f>
        <v>*Vue*</v>
      </c>
      <c r="Q128" s="10" t="str">
        <f>IFERROR(__xludf.DUMMYFUNCTION("""COMPUTED_VALUE"""),"*Régen*")</f>
        <v>*Régen*</v>
      </c>
      <c r="R128" s="10" t="str">
        <f>IFERROR(__xludf.DUMMYFUNCTION("""COMPUTED_VALUE"""),"*Arm phy*")</f>
        <v>*Arm phy*</v>
      </c>
      <c r="S128" s="10" t="str">
        <f>IFERROR(__xludf.DUMMYFUNCTION("""COMPUTED_VALUE"""),"*Arm mag*")</f>
        <v>*Arm mag*</v>
      </c>
      <c r="T128" s="10" t="str">
        <f>IFERROR(__xludf.DUMMYFUNCTION("""COMPUTED_VALUE"""),"*MM*")</f>
        <v>*MM*</v>
      </c>
      <c r="U128" s="10" t="str">
        <f>IFERROR(__xludf.DUMMYFUNCTION("""COMPUTED_VALUE"""),"*RM*")</f>
        <v>*RM*</v>
      </c>
      <c r="V128" s="10" t="str">
        <f>IFERROR(__xludf.DUMMYFUNCTION("""COMPUTED_VALUE"""),"*DLA*")</f>
        <v>*DLA*</v>
      </c>
      <c r="W128" s="10" t="str">
        <f>IFERROR(__xludf.DUMMYFUNCTION("""COMPUTED_VALUE"""),"*Echant*")</f>
        <v>*Echant*</v>
      </c>
      <c r="X128" s="10" t="str">
        <f>IFERROR(__xludf.DUMMYFUNCTION("""COMPUTED_VALUE"""),"*Vole*")</f>
        <v>*Vole*</v>
      </c>
      <c r="Y128" s="10"/>
      <c r="Z128" s="10"/>
      <c r="AA128" s="10"/>
      <c r="AB128" s="10"/>
      <c r="AC128" s="10"/>
      <c r="AD128" s="10"/>
      <c r="AE128" s="10"/>
      <c r="AF128" s="10"/>
      <c r="AG128" s="10"/>
      <c r="AH128" s="10"/>
    </row>
    <row r="129">
      <c r="A129" s="10">
        <f>IFERROR(__xludf.DUMMYFUNCTION("""COMPUTED_VALUE"""),194.0)</f>
        <v>194</v>
      </c>
      <c r="B129" s="10" t="str">
        <f>IFERROR(__xludf.DUMMYFUNCTION("""COMPUTED_VALUE"""),"Mouch'oo Majestueux")</f>
        <v>Mouch'oo Majestueux</v>
      </c>
      <c r="C129" s="10" t="str">
        <f>IFERROR(__xludf.DUMMYFUNCTION("""COMPUTED_VALUE"""),"Monstre")</f>
        <v>Monstre</v>
      </c>
      <c r="D129" s="10">
        <f>IFERROR(__xludf.DUMMYFUNCTION("""COMPUTED_VALUE"""),33.0)</f>
        <v>33</v>
      </c>
      <c r="E129" s="10">
        <f>IFERROR(__xludf.DUMMYFUNCTION("""COMPUTED_VALUE"""),1.0)</f>
        <v>1</v>
      </c>
      <c r="F129" s="10" t="str">
        <f>IFERROR(__xludf.DUMMYFUNCTION("""COMPUTED_VALUE"""),"Non")</f>
        <v>Non</v>
      </c>
      <c r="G129" s="10" t="str">
        <f>IFERROR(__xludf.DUMMYFUNCTION("""COMPUTED_VALUE"""),"Non")</f>
        <v>Non</v>
      </c>
      <c r="H129" s="10" t="str">
        <f>IFERROR(__xludf.DUMMYFUNCTION("""COMPUTED_VALUE"""),"Normale")</f>
        <v>Normale</v>
      </c>
      <c r="I129" s="10" t="str">
        <f>IFERROR(__xludf.DUMMYFUNCTION("""COMPUTED_VALUE"""),"Non")</f>
        <v>Non</v>
      </c>
      <c r="J129" s="10" t="str">
        <f>IFERROR(__xludf.DUMMYFUNCTION("""COMPUTED_VALUE"""),"Vol de mouche")</f>
        <v>Vol de mouche</v>
      </c>
      <c r="K129" s="10" t="str">
        <f>IFERROR(__xludf.DUMMYFUNCTION("""COMPUTED_VALUE"""),"Mort : libération des mouches")</f>
        <v>Mort : libération des mouches</v>
      </c>
      <c r="L129" s="10" t="str">
        <f>IFERROR(__xludf.DUMMYFUNCTION("""COMPUTED_VALUE"""),"160 ±45")</f>
        <v>160 ±45</v>
      </c>
      <c r="M129" s="10" t="str">
        <f>IFERROR(__xludf.DUMMYFUNCTION("""COMPUTED_VALUE"""),"11 ±4")</f>
        <v>11 ±4</v>
      </c>
      <c r="N129" s="10" t="str">
        <f>IFERROR(__xludf.DUMMYFUNCTION("""COMPUTED_VALUE"""),"16 ±4")</f>
        <v>16 ±4</v>
      </c>
      <c r="O129" s="10" t="str">
        <f>IFERROR(__xludf.DUMMYFUNCTION("""COMPUTED_VALUE"""),"11 ±3")</f>
        <v>11 ±3</v>
      </c>
      <c r="P129" s="10" t="str">
        <f>IFERROR(__xludf.DUMMYFUNCTION("""COMPUTED_VALUE"""),"3 ±2")</f>
        <v>3 ±2</v>
      </c>
      <c r="Q129" s="10" t="str">
        <f>IFERROR(__xludf.DUMMYFUNCTION("""COMPUTED_VALUE"""),"10 ±2")</f>
        <v>10 ±2</v>
      </c>
      <c r="R129" s="10" t="str">
        <f>IFERROR(__xludf.DUMMYFUNCTION("""COMPUTED_VALUE"""),"10 ±3")</f>
        <v>10 ±3</v>
      </c>
      <c r="S129" s="10" t="str">
        <f>IFERROR(__xludf.DUMMYFUNCTION("""COMPUTED_VALUE"""),"")</f>
        <v/>
      </c>
      <c r="T129" s="10" t="str">
        <f>IFERROR(__xludf.DUMMYFUNCTION("""COMPUTED_VALUE"""),"100 ±100")</f>
        <v>100 ±100</v>
      </c>
      <c r="U129" s="10" t="str">
        <f>IFERROR(__xludf.DUMMYFUNCTION("""COMPUTED_VALUE"""),"2000 ±500")</f>
        <v>2000 ±500</v>
      </c>
      <c r="V129" s="10" t="str">
        <f>IFERROR(__xludf.DUMMYFUNCTION("""COMPUTED_VALUE"""),"10 ±3")</f>
        <v>10 ±3</v>
      </c>
      <c r="W129" s="10">
        <f>IFERROR(__xludf.DUMMYFUNCTION("""COMPUTED_VALUE"""),62.0)</f>
        <v>62</v>
      </c>
      <c r="X129" s="10" t="str">
        <f>IFERROR(__xludf.DUMMYFUNCTION("""COMPUTED_VALUE"""),"")</f>
        <v/>
      </c>
      <c r="Y129" s="10"/>
      <c r="Z129" s="10"/>
      <c r="AA129" s="10"/>
      <c r="AB129" s="10"/>
      <c r="AC129" s="10"/>
      <c r="AD129" s="10"/>
      <c r="AE129" s="10"/>
      <c r="AF129" s="10"/>
      <c r="AG129" s="10"/>
      <c r="AH129" s="10"/>
    </row>
    <row r="130">
      <c r="A130" s="10">
        <f>IFERROR(__xludf.DUMMYFUNCTION("""COMPUTED_VALUE"""),64.0)</f>
        <v>64</v>
      </c>
      <c r="B130" s="10" t="str">
        <f>IFERROR(__xludf.DUMMYFUNCTION("""COMPUTED_VALUE"""),"Naga")</f>
        <v>Naga</v>
      </c>
      <c r="C130" s="10" t="str">
        <f>IFERROR(__xludf.DUMMYFUNCTION("""COMPUTED_VALUE"""),"Monstre")</f>
        <v>Monstre</v>
      </c>
      <c r="D130" s="10">
        <f>IFERROR(__xludf.DUMMYFUNCTION("""COMPUTED_VALUE"""),10.0)</f>
        <v>10</v>
      </c>
      <c r="E130" s="10">
        <f>IFERROR(__xludf.DUMMYFUNCTION("""COMPUTED_VALUE"""),1.0)</f>
        <v>1</v>
      </c>
      <c r="F130" s="10" t="str">
        <f>IFERROR(__xludf.DUMMYFUNCTION("""COMPUTED_VALUE"""),"Non")</f>
        <v>Non</v>
      </c>
      <c r="G130" s="10" t="str">
        <f>IFERROR(__xludf.DUMMYFUNCTION("""COMPUTED_VALUE"""),"Non")</f>
        <v>Non</v>
      </c>
      <c r="H130" s="10" t="str">
        <f>IFERROR(__xludf.DUMMYFUNCTION("""COMPUTED_VALUE"""),"Normale")</f>
        <v>Normale</v>
      </c>
      <c r="I130" s="10" t="str">
        <f>IFERROR(__xludf.DUMMYFUNCTION("""COMPUTED_VALUE"""),"Non")</f>
        <v>Non</v>
      </c>
      <c r="J130" s="10" t="str">
        <f>IFERROR(__xludf.DUMMYFUNCTION("""COMPUTED_VALUE"""),"Venin - Toucher")</f>
        <v>Venin - Toucher</v>
      </c>
      <c r="K130" s="10" t="str">
        <f>IFERROR(__xludf.DUMMYFUNCTION("""COMPUTED_VALUE"""),"-")</f>
        <v>-</v>
      </c>
      <c r="L130" s="10" t="str">
        <f>IFERROR(__xludf.DUMMYFUNCTION("""COMPUTED_VALUE"""),"60 ±30")</f>
        <v>60 ±30</v>
      </c>
      <c r="M130" s="10" t="str">
        <f>IFERROR(__xludf.DUMMYFUNCTION("""COMPUTED_VALUE"""),"7 ±3")</f>
        <v>7 ±3</v>
      </c>
      <c r="N130" s="10" t="str">
        <f>IFERROR(__xludf.DUMMYFUNCTION("""COMPUTED_VALUE"""),"8 ±3")</f>
        <v>8 ±3</v>
      </c>
      <c r="O130" s="10" t="str">
        <f>IFERROR(__xludf.DUMMYFUNCTION("""COMPUTED_VALUE"""),"5 ±3")</f>
        <v>5 ±3</v>
      </c>
      <c r="P130" s="10" t="str">
        <f>IFERROR(__xludf.DUMMYFUNCTION("""COMPUTED_VALUE"""),"4 ±3")</f>
        <v>4 ±3</v>
      </c>
      <c r="Q130" s="10" t="str">
        <f>IFERROR(__xludf.DUMMYFUNCTION("""COMPUTED_VALUE"""),"2 ±1")</f>
        <v>2 ±1</v>
      </c>
      <c r="R130" s="10" t="str">
        <f>IFERROR(__xludf.DUMMYFUNCTION("""COMPUTED_VALUE"""),"3 ±2")</f>
        <v>3 ±2</v>
      </c>
      <c r="S130" s="10" t="str">
        <f>IFERROR(__xludf.DUMMYFUNCTION("""COMPUTED_VALUE"""),"")</f>
        <v/>
      </c>
      <c r="T130" s="10" t="str">
        <f>IFERROR(__xludf.DUMMYFUNCTION("""COMPUTED_VALUE"""),"600 ±400")</f>
        <v>600 ±400</v>
      </c>
      <c r="U130" s="10" t="str">
        <f>IFERROR(__xludf.DUMMYFUNCTION("""COMPUTED_VALUE"""),"300 ±200")</f>
        <v>300 ±200</v>
      </c>
      <c r="V130" s="10" t="str">
        <f>IFERROR(__xludf.DUMMYFUNCTION("""COMPUTED_VALUE"""),"12 ±4")</f>
        <v>12 ±4</v>
      </c>
      <c r="W130" s="10">
        <f>IFERROR(__xludf.DUMMYFUNCTION("""COMPUTED_VALUE"""),55.0)</f>
        <v>55</v>
      </c>
      <c r="X130" s="10" t="str">
        <f>IFERROR(__xludf.DUMMYFUNCTION("""COMPUTED_VALUE"""),"")</f>
        <v/>
      </c>
      <c r="Y130" s="10"/>
      <c r="Z130" s="10"/>
      <c r="AA130" s="10"/>
      <c r="AB130" s="10"/>
      <c r="AC130" s="10"/>
      <c r="AD130" s="10"/>
      <c r="AE130" s="10"/>
      <c r="AF130" s="10"/>
      <c r="AG130" s="10"/>
      <c r="AH130" s="10"/>
    </row>
    <row r="131">
      <c r="A131" s="10">
        <f>IFERROR(__xludf.DUMMYFUNCTION("""COMPUTED_VALUE"""),147.0)</f>
        <v>147</v>
      </c>
      <c r="B131" s="10" t="str">
        <f>IFERROR(__xludf.DUMMYFUNCTION("""COMPUTED_VALUE"""),"Necrochore")</f>
        <v>Necrochore</v>
      </c>
      <c r="C131" s="10" t="str">
        <f>IFERROR(__xludf.DUMMYFUNCTION("""COMPUTED_VALUE"""),"Mort-Vivant")</f>
        <v>Mort-Vivant</v>
      </c>
      <c r="D131" s="10">
        <f>IFERROR(__xludf.DUMMYFUNCTION("""COMPUTED_VALUE"""),37.0)</f>
        <v>37</v>
      </c>
      <c r="E131" s="10">
        <f>IFERROR(__xludf.DUMMYFUNCTION("""COMPUTED_VALUE"""),1.0)</f>
        <v>1</v>
      </c>
      <c r="F131" s="10" t="str">
        <f>IFERROR(__xludf.DUMMYFUNCTION("""COMPUTED_VALUE"""),"Non")</f>
        <v>Non</v>
      </c>
      <c r="G131" s="10" t="str">
        <f>IFERROR(__xludf.DUMMYFUNCTION("""COMPUTED_VALUE"""),"Non")</f>
        <v>Non</v>
      </c>
      <c r="H131" s="10" t="str">
        <f>IFERROR(__xludf.DUMMYFUNCTION("""COMPUTED_VALUE"""),"Rapide")</f>
        <v>Rapide</v>
      </c>
      <c r="I131" s="10" t="str">
        <f>IFERROR(__xludf.DUMMYFUNCTION("""COMPUTED_VALUE"""),"Oui")</f>
        <v>Oui</v>
      </c>
      <c r="J131" s="10" t="str">
        <f>IFERROR(__xludf.DUMMYFUNCTION("""COMPUTED_VALUE"""),"Venin - Auto")</f>
        <v>Venin - Auto</v>
      </c>
      <c r="K131" s="10" t="str">
        <f>IFERROR(__xludf.DUMMYFUNCTION("""COMPUTED_VALUE"""),"-")</f>
        <v>-</v>
      </c>
      <c r="L131" s="10" t="str">
        <f>IFERROR(__xludf.DUMMYFUNCTION("""COMPUTED_VALUE"""),"150 ±40")</f>
        <v>150 ±40</v>
      </c>
      <c r="M131" s="10" t="str">
        <f>IFERROR(__xludf.DUMMYFUNCTION("""COMPUTED_VALUE"""),"22 ±5")</f>
        <v>22 ±5</v>
      </c>
      <c r="N131" s="10" t="str">
        <f>IFERROR(__xludf.DUMMYFUNCTION("""COMPUTED_VALUE"""),"14 ±4")</f>
        <v>14 ±4</v>
      </c>
      <c r="O131" s="10" t="str">
        <f>IFERROR(__xludf.DUMMYFUNCTION("""COMPUTED_VALUE"""),"11 ±3")</f>
        <v>11 ±3</v>
      </c>
      <c r="P131" s="10" t="str">
        <f>IFERROR(__xludf.DUMMYFUNCTION("""COMPUTED_VALUE"""),"4 ±2")</f>
        <v>4 ±2</v>
      </c>
      <c r="Q131" s="10" t="str">
        <f>IFERROR(__xludf.DUMMYFUNCTION("""COMPUTED_VALUE"""),"3 ±1")</f>
        <v>3 ±1</v>
      </c>
      <c r="R131" s="10" t="str">
        <f>IFERROR(__xludf.DUMMYFUNCTION("""COMPUTED_VALUE"""),"5 ±3")</f>
        <v>5 ±3</v>
      </c>
      <c r="S131" s="10" t="str">
        <f>IFERROR(__xludf.DUMMYFUNCTION("""COMPUTED_VALUE"""),"")</f>
        <v/>
      </c>
      <c r="T131" s="10" t="str">
        <f>IFERROR(__xludf.DUMMYFUNCTION("""COMPUTED_VALUE"""),"&gt;&gt;4800")</f>
        <v>&gt;&gt;4800</v>
      </c>
      <c r="U131" s="10" t="str">
        <f>IFERROR(__xludf.DUMMYFUNCTION("""COMPUTED_VALUE"""),"&gt;&gt;4800")</f>
        <v>&gt;&gt;4800</v>
      </c>
      <c r="V131" s="10" t="str">
        <f>IFERROR(__xludf.DUMMYFUNCTION("""COMPUTED_VALUE"""),"14 ±3")</f>
        <v>14 ±3</v>
      </c>
      <c r="W131" s="10">
        <f>IFERROR(__xludf.DUMMYFUNCTION("""COMPUTED_VALUE"""),144.0)</f>
        <v>144</v>
      </c>
      <c r="X131" s="10" t="str">
        <f>IFERROR(__xludf.DUMMYFUNCTION("""COMPUTED_VALUE"""),"")</f>
        <v/>
      </c>
      <c r="Y131" s="10"/>
      <c r="Z131" s="10"/>
      <c r="AA131" s="10"/>
      <c r="AB131" s="10"/>
      <c r="AC131" s="10"/>
      <c r="AD131" s="10"/>
      <c r="AE131" s="10"/>
      <c r="AF131" s="10"/>
      <c r="AG131" s="10"/>
      <c r="AH131" s="10"/>
    </row>
    <row r="132">
      <c r="A132" s="10">
        <f>IFERROR(__xludf.DUMMYFUNCTION("""COMPUTED_VALUE"""),227.0)</f>
        <v>227</v>
      </c>
      <c r="B132" s="10" t="str">
        <f>IFERROR(__xludf.DUMMYFUNCTION("""COMPUTED_VALUE"""),"Necromant")</f>
        <v>Necromant</v>
      </c>
      <c r="C132" s="10" t="str">
        <f>IFERROR(__xludf.DUMMYFUNCTION("""COMPUTED_VALUE"""),"Mort-Vivant")</f>
        <v>Mort-Vivant</v>
      </c>
      <c r="D132" s="10">
        <f>IFERROR(__xludf.DUMMYFUNCTION("""COMPUTED_VALUE"""),39.0)</f>
        <v>39</v>
      </c>
      <c r="E132" s="10">
        <f>IFERROR(__xludf.DUMMYFUNCTION("""COMPUTED_VALUE"""),1.0)</f>
        <v>1</v>
      </c>
      <c r="F132" s="10" t="str">
        <f>IFERROR(__xludf.DUMMYFUNCTION("""COMPUTED_VALUE"""),"Oui")</f>
        <v>Oui</v>
      </c>
      <c r="G132" s="10" t="str">
        <f>IFERROR(__xludf.DUMMYFUNCTION("""COMPUTED_VALUE"""),"Non")</f>
        <v>Non</v>
      </c>
      <c r="H132" s="10" t="str">
        <f>IFERROR(__xludf.DUMMYFUNCTION("""COMPUTED_VALUE"""),"Normale")</f>
        <v>Normale</v>
      </c>
      <c r="I132" s="10" t="str">
        <f>IFERROR(__xludf.DUMMYFUNCTION("""COMPUTED_VALUE"""),"Oui")</f>
        <v>Oui</v>
      </c>
      <c r="J132" s="10" t="str">
        <f>IFERROR(__xludf.DUMMYFUNCTION("""COMPUTED_VALUE"""),"-")</f>
        <v>-</v>
      </c>
      <c r="K132" s="10" t="str">
        <f>IFERROR(__xludf.DUMMYFUNCTION("""COMPUTED_VALUE"""),"Appel")</f>
        <v>Appel</v>
      </c>
      <c r="L132" s="10" t="str">
        <f>IFERROR(__xludf.DUMMYFUNCTION("""COMPUTED_VALUE"""),"160 ±40")</f>
        <v>160 ±40</v>
      </c>
      <c r="M132" s="10" t="str">
        <f>IFERROR(__xludf.DUMMYFUNCTION("""COMPUTED_VALUE"""),"14 ±4")</f>
        <v>14 ±4</v>
      </c>
      <c r="N132" s="10" t="str">
        <f>IFERROR(__xludf.DUMMYFUNCTION("""COMPUTED_VALUE"""),"19 ±4")</f>
        <v>19 ±4</v>
      </c>
      <c r="O132" s="10" t="str">
        <f>IFERROR(__xludf.DUMMYFUNCTION("""COMPUTED_VALUE"""),"10 ±3")</f>
        <v>10 ±3</v>
      </c>
      <c r="P132" s="10" t="str">
        <f>IFERROR(__xludf.DUMMYFUNCTION("""COMPUTED_VALUE"""),"6 ±3")</f>
        <v>6 ±3</v>
      </c>
      <c r="Q132" s="10" t="str">
        <f>IFERROR(__xludf.DUMMYFUNCTION("""COMPUTED_VALUE"""),"8 ±2")</f>
        <v>8 ±2</v>
      </c>
      <c r="R132" s="10" t="str">
        <f>IFERROR(__xludf.DUMMYFUNCTION("""COMPUTED_VALUE"""),"10 ±3")</f>
        <v>10 ±3</v>
      </c>
      <c r="S132" s="10" t="str">
        <f>IFERROR(__xludf.DUMMYFUNCTION("""COMPUTED_VALUE"""),"")</f>
        <v/>
      </c>
      <c r="T132" s="10" t="str">
        <f>IFERROR(__xludf.DUMMYFUNCTION("""COMPUTED_VALUE"""),"4700 ±300")</f>
        <v>4700 ±300</v>
      </c>
      <c r="U132" s="10" t="str">
        <f>IFERROR(__xludf.DUMMYFUNCTION("""COMPUTED_VALUE"""),"3100 ±700")</f>
        <v>3100 ±700</v>
      </c>
      <c r="V132" s="10" t="str">
        <f>IFERROR(__xludf.DUMMYFUNCTION("""COMPUTED_VALUE"""),"11 ±3")</f>
        <v>11 ±3</v>
      </c>
      <c r="W132" s="10">
        <f>IFERROR(__xludf.DUMMYFUNCTION("""COMPUTED_VALUE"""),10.0)</f>
        <v>10</v>
      </c>
      <c r="X132" s="10" t="str">
        <f>IFERROR(__xludf.DUMMYFUNCTION("""COMPUTED_VALUE"""),"")</f>
        <v/>
      </c>
      <c r="Y132" s="10"/>
      <c r="Z132" s="10"/>
      <c r="AA132" s="10"/>
      <c r="AB132" s="10"/>
      <c r="AC132" s="10"/>
      <c r="AD132" s="10"/>
      <c r="AE132" s="10"/>
      <c r="AF132" s="10"/>
      <c r="AG132" s="10"/>
      <c r="AH132" s="10"/>
    </row>
    <row r="133">
      <c r="A133" s="10">
        <f>IFERROR(__xludf.DUMMYFUNCTION("""COMPUTED_VALUE"""),56.0)</f>
        <v>56</v>
      </c>
      <c r="B133" s="10" t="str">
        <f>IFERROR(__xludf.DUMMYFUNCTION("""COMPUTED_VALUE"""),"Necrophage")</f>
        <v>Necrophage</v>
      </c>
      <c r="C133" s="10" t="str">
        <f>IFERROR(__xludf.DUMMYFUNCTION("""COMPUTED_VALUE"""),"Mort-Vivant")</f>
        <v>Mort-Vivant</v>
      </c>
      <c r="D133" s="10">
        <f>IFERROR(__xludf.DUMMYFUNCTION("""COMPUTED_VALUE"""),8.0)</f>
        <v>8</v>
      </c>
      <c r="E133" s="10">
        <f>IFERROR(__xludf.DUMMYFUNCTION("""COMPUTED_VALUE"""),1.0)</f>
        <v>1</v>
      </c>
      <c r="F133" s="10" t="str">
        <f>IFERROR(__xludf.DUMMYFUNCTION("""COMPUTED_VALUE"""),"Non")</f>
        <v>Non</v>
      </c>
      <c r="G133" s="10" t="str">
        <f>IFERROR(__xludf.DUMMYFUNCTION("""COMPUTED_VALUE"""),"Non")</f>
        <v>Non</v>
      </c>
      <c r="H133" s="10" t="str">
        <f>IFERROR(__xludf.DUMMYFUNCTION("""COMPUTED_VALUE"""),"Normale")</f>
        <v>Normale</v>
      </c>
      <c r="I133" s="10" t="str">
        <f>IFERROR(__xludf.DUMMYFUNCTION("""COMPUTED_VALUE"""),"Non")</f>
        <v>Non</v>
      </c>
      <c r="J133" s="10" t="str">
        <f>IFERROR(__xludf.DUMMYFUNCTION("""COMPUTED_VALUE"""),"Attaque paralysante - Auto")</f>
        <v>Attaque paralysante - Auto</v>
      </c>
      <c r="K133" s="10" t="str">
        <f>IFERROR(__xludf.DUMMYFUNCTION("""COMPUTED_VALUE"""),"-")</f>
        <v>-</v>
      </c>
      <c r="L133" s="10" t="str">
        <f>IFERROR(__xludf.DUMMYFUNCTION("""COMPUTED_VALUE"""),"50 ±25")</f>
        <v>50 ±25</v>
      </c>
      <c r="M133" s="10" t="str">
        <f>IFERROR(__xludf.DUMMYFUNCTION("""COMPUTED_VALUE"""),"6 ±3")</f>
        <v>6 ±3</v>
      </c>
      <c r="N133" s="10" t="str">
        <f>IFERROR(__xludf.DUMMYFUNCTION("""COMPUTED_VALUE"""),"5 ±3")</f>
        <v>5 ±3</v>
      </c>
      <c r="O133" s="10" t="str">
        <f>IFERROR(__xludf.DUMMYFUNCTION("""COMPUTED_VALUE"""),"6 ±3")</f>
        <v>6 ±3</v>
      </c>
      <c r="P133" s="10" t="str">
        <f>IFERROR(__xludf.DUMMYFUNCTION("""COMPUTED_VALUE"""),"4 ±3")</f>
        <v>4 ±3</v>
      </c>
      <c r="Q133" s="10" t="str">
        <f>IFERROR(__xludf.DUMMYFUNCTION("""COMPUTED_VALUE"""),"3 ±1")</f>
        <v>3 ±1</v>
      </c>
      <c r="R133" s="10" t="str">
        <f>IFERROR(__xludf.DUMMYFUNCTION("""COMPUTED_VALUE"""),"5 ±3")</f>
        <v>5 ±3</v>
      </c>
      <c r="S133" s="10" t="str">
        <f>IFERROR(__xludf.DUMMYFUNCTION("""COMPUTED_VALUE"""),"")</f>
        <v/>
      </c>
      <c r="T133" s="10" t="str">
        <f>IFERROR(__xludf.DUMMYFUNCTION("""COMPUTED_VALUE"""),"300 ±200")</f>
        <v>300 ±200</v>
      </c>
      <c r="U133" s="10" t="str">
        <f>IFERROR(__xludf.DUMMYFUNCTION("""COMPUTED_VALUE"""),"200 ±200")</f>
        <v>200 ±200</v>
      </c>
      <c r="V133" s="10" t="str">
        <f>IFERROR(__xludf.DUMMYFUNCTION("""COMPUTED_VALUE"""),"11 ±4")</f>
        <v>11 ±4</v>
      </c>
      <c r="W133" s="10">
        <f>IFERROR(__xludf.DUMMYFUNCTION("""COMPUTED_VALUE"""),31.0)</f>
        <v>31</v>
      </c>
      <c r="X133" s="10" t="str">
        <f>IFERROR(__xludf.DUMMYFUNCTION("""COMPUTED_VALUE"""),"")</f>
        <v/>
      </c>
      <c r="Y133" s="10"/>
      <c r="Z133" s="10"/>
      <c r="AA133" s="10"/>
      <c r="AB133" s="10"/>
      <c r="AC133" s="10"/>
      <c r="AD133" s="10"/>
      <c r="AE133" s="10"/>
      <c r="AF133" s="10"/>
      <c r="AG133" s="10"/>
      <c r="AH133" s="10"/>
    </row>
    <row r="134">
      <c r="A134" s="10">
        <f>IFERROR(__xludf.DUMMYFUNCTION("""COMPUTED_VALUE"""),43.0)</f>
        <v>43</v>
      </c>
      <c r="B134" s="10" t="str">
        <f>IFERROR(__xludf.DUMMYFUNCTION("""COMPUTED_VALUE"""),"Nuage d'Insectes")</f>
        <v>Nuage d'Insectes</v>
      </c>
      <c r="C134" s="10" t="str">
        <f>IFERROR(__xludf.DUMMYFUNCTION("""COMPUTED_VALUE"""),"Insecte")</f>
        <v>Insecte</v>
      </c>
      <c r="D134" s="10">
        <f>IFERROR(__xludf.DUMMYFUNCTION("""COMPUTED_VALUE"""),7.0)</f>
        <v>7</v>
      </c>
      <c r="E134" s="10">
        <f>IFERROR(__xludf.DUMMYFUNCTION("""COMPUTED_VALUE"""),3.0)</f>
        <v>3</v>
      </c>
      <c r="F134" s="10" t="str">
        <f>IFERROR(__xludf.DUMMYFUNCTION("""COMPUTED_VALUE"""),"")</f>
        <v/>
      </c>
      <c r="G134" s="10" t="str">
        <f>IFERROR(__xludf.DUMMYFUNCTION("""COMPUTED_VALUE"""),"Non")</f>
        <v>Non</v>
      </c>
      <c r="H134" s="10" t="str">
        <f>IFERROR(__xludf.DUMMYFUNCTION("""COMPUTED_VALUE"""),"Normale")</f>
        <v>Normale</v>
      </c>
      <c r="I134" s="10" t="str">
        <f>IFERROR(__xludf.DUMMYFUNCTION("""COMPUTED_VALUE"""),"Non")</f>
        <v>Non</v>
      </c>
      <c r="J134" s="10" t="str">
        <f>IFERROR(__xludf.DUMMYFUNCTION("""COMPUTED_VALUE"""),"Attaque aveuglante - Zone")</f>
        <v>Attaque aveuglante - Zone</v>
      </c>
      <c r="K134" s="10" t="str">
        <f>IFERROR(__xludf.DUMMYFUNCTION("""COMPUTED_VALUE"""),"-")</f>
        <v>-</v>
      </c>
      <c r="L134" s="10" t="str">
        <f>IFERROR(__xludf.DUMMYFUNCTION("""COMPUTED_VALUE"""),"60 ±25")</f>
        <v>60 ±25</v>
      </c>
      <c r="M134" s="10" t="str">
        <f>IFERROR(__xludf.DUMMYFUNCTION("""COMPUTED_VALUE"""),"4 ±3")</f>
        <v>4 ±3</v>
      </c>
      <c r="N134" s="10" t="str">
        <f>IFERROR(__xludf.DUMMYFUNCTION("""COMPUTED_VALUE"""),"2 ±2")</f>
        <v>2 ±2</v>
      </c>
      <c r="O134" s="10" t="str">
        <f>IFERROR(__xludf.DUMMYFUNCTION("""COMPUTED_VALUE"""),"4 ±2")</f>
        <v>4 ±2</v>
      </c>
      <c r="P134" s="10" t="str">
        <f>IFERROR(__xludf.DUMMYFUNCTION("""COMPUTED_VALUE"""),"2 ±2")</f>
        <v>2 ±2</v>
      </c>
      <c r="Q134" s="10" t="str">
        <f>IFERROR(__xludf.DUMMYFUNCTION("""COMPUTED_VALUE"""),"1 ±1")</f>
        <v>1 ±1</v>
      </c>
      <c r="R134" s="10" t="str">
        <f>IFERROR(__xludf.DUMMYFUNCTION("""COMPUTED_VALUE"""),"1 ±1")</f>
        <v>1 ±1</v>
      </c>
      <c r="S134" s="10" t="str">
        <f>IFERROR(__xludf.DUMMYFUNCTION("""COMPUTED_VALUE"""),"")</f>
        <v/>
      </c>
      <c r="T134" s="10" t="str">
        <f>IFERROR(__xludf.DUMMYFUNCTION("""COMPUTED_VALUE"""),"300 ±200")</f>
        <v>300 ±200</v>
      </c>
      <c r="U134" s="10" t="str">
        <f>IFERROR(__xludf.DUMMYFUNCTION("""COMPUTED_VALUE"""),"500 ±300")</f>
        <v>500 ±300</v>
      </c>
      <c r="V134" s="10" t="str">
        <f>IFERROR(__xludf.DUMMYFUNCTION("""COMPUTED_VALUE"""),"10 ±4")</f>
        <v>10 ±4</v>
      </c>
      <c r="W134" s="10">
        <f>IFERROR(__xludf.DUMMYFUNCTION("""COMPUTED_VALUE"""),22.0)</f>
        <v>22</v>
      </c>
      <c r="X134" s="10" t="str">
        <f>IFERROR(__xludf.DUMMYFUNCTION("""COMPUTED_VALUE"""),"")</f>
        <v/>
      </c>
      <c r="Y134" s="10"/>
      <c r="Z134" s="10"/>
      <c r="AA134" s="10"/>
      <c r="AB134" s="10"/>
      <c r="AC134" s="10"/>
      <c r="AD134" s="10"/>
      <c r="AE134" s="10"/>
      <c r="AF134" s="10"/>
      <c r="AG134" s="10"/>
      <c r="AH134" s="10"/>
    </row>
    <row r="135">
      <c r="A135" s="10">
        <f>IFERROR(__xludf.DUMMYFUNCTION("""COMPUTED_VALUE"""),166.0)</f>
        <v>166</v>
      </c>
      <c r="B135" s="10" t="str">
        <f>IFERROR(__xludf.DUMMYFUNCTION("""COMPUTED_VALUE"""),"Nuee de Vermine")</f>
        <v>Nuee de Vermine</v>
      </c>
      <c r="C135" s="10" t="str">
        <f>IFERROR(__xludf.DUMMYFUNCTION("""COMPUTED_VALUE"""),"Insecte")</f>
        <v>Insecte</v>
      </c>
      <c r="D135" s="10">
        <f>IFERROR(__xludf.DUMMYFUNCTION("""COMPUTED_VALUE"""),13.0)</f>
        <v>13</v>
      </c>
      <c r="E135" s="10">
        <f>IFERROR(__xludf.DUMMYFUNCTION("""COMPUTED_VALUE"""),1.0)</f>
        <v>1</v>
      </c>
      <c r="F135" s="10" t="str">
        <f>IFERROR(__xludf.DUMMYFUNCTION("""COMPUTED_VALUE"""),"")</f>
        <v/>
      </c>
      <c r="G135" s="10" t="str">
        <f>IFERROR(__xludf.DUMMYFUNCTION("""COMPUTED_VALUE"""),"Non")</f>
        <v>Non</v>
      </c>
      <c r="H135" s="10" t="str">
        <f>IFERROR(__xludf.DUMMYFUNCTION("""COMPUTED_VALUE"""),"Normale")</f>
        <v>Normale</v>
      </c>
      <c r="I135" s="10" t="str">
        <f>IFERROR(__xludf.DUMMYFUNCTION("""COMPUTED_VALUE"""),"Non")</f>
        <v>Non</v>
      </c>
      <c r="J135" s="10" t="str">
        <f>IFERROR(__xludf.DUMMYFUNCTION("""COMPUTED_VALUE"""),"Coup perforant - Zone")</f>
        <v>Coup perforant - Zone</v>
      </c>
      <c r="K135" s="10" t="str">
        <f>IFERROR(__xludf.DUMMYFUNCTION("""COMPUTED_VALUE"""),"-")</f>
        <v>-</v>
      </c>
      <c r="L135" s="10" t="str">
        <f>IFERROR(__xludf.DUMMYFUNCTION("""COMPUTED_VALUE"""),"60 ±30")</f>
        <v>60 ±30</v>
      </c>
      <c r="M135" s="10" t="str">
        <f>IFERROR(__xludf.DUMMYFUNCTION("""COMPUTED_VALUE"""),"8 ±3")</f>
        <v>8 ±3</v>
      </c>
      <c r="N135" s="10" t="str">
        <f>IFERROR(__xludf.DUMMYFUNCTION("""COMPUTED_VALUE"""),"6 ±3")</f>
        <v>6 ±3</v>
      </c>
      <c r="O135" s="10" t="str">
        <f>IFERROR(__xludf.DUMMYFUNCTION("""COMPUTED_VALUE"""),"5 ±3")</f>
        <v>5 ±3</v>
      </c>
      <c r="P135" s="10" t="str">
        <f>IFERROR(__xludf.DUMMYFUNCTION("""COMPUTED_VALUE"""),"4 ±3")</f>
        <v>4 ±3</v>
      </c>
      <c r="Q135" s="10" t="str">
        <f>IFERROR(__xludf.DUMMYFUNCTION("""COMPUTED_VALUE"""),"6 ±2")</f>
        <v>6 ±2</v>
      </c>
      <c r="R135" s="10" t="str">
        <f>IFERROR(__xludf.DUMMYFUNCTION("""COMPUTED_VALUE"""),"8 ±3")</f>
        <v>8 ±3</v>
      </c>
      <c r="S135" s="10" t="str">
        <f>IFERROR(__xludf.DUMMYFUNCTION("""COMPUTED_VALUE"""),"")</f>
        <v/>
      </c>
      <c r="T135" s="10" t="str">
        <f>IFERROR(__xludf.DUMMYFUNCTION("""COMPUTED_VALUE"""),"400 ±200")</f>
        <v>400 ±200</v>
      </c>
      <c r="U135" s="10" t="str">
        <f>IFERROR(__xludf.DUMMYFUNCTION("""COMPUTED_VALUE"""),"300 ±300")</f>
        <v>300 ±300</v>
      </c>
      <c r="V135" s="10" t="str">
        <f>IFERROR(__xludf.DUMMYFUNCTION("""COMPUTED_VALUE"""),"12 ±4")</f>
        <v>12 ±4</v>
      </c>
      <c r="W135" s="10">
        <f>IFERROR(__xludf.DUMMYFUNCTION("""COMPUTED_VALUE"""),31.0)</f>
        <v>31</v>
      </c>
      <c r="X135" s="10" t="str">
        <f>IFERROR(__xludf.DUMMYFUNCTION("""COMPUTED_VALUE"""),"")</f>
        <v/>
      </c>
      <c r="Y135" s="10"/>
      <c r="Z135" s="10"/>
      <c r="AA135" s="10"/>
      <c r="AB135" s="10"/>
      <c r="AC135" s="10"/>
      <c r="AD135" s="10"/>
      <c r="AE135" s="10"/>
      <c r="AF135" s="10"/>
      <c r="AG135" s="10"/>
      <c r="AH135" s="10"/>
    </row>
    <row r="136">
      <c r="A136" s="10" t="str">
        <f>IFERROR(__xludf.DUMMYFUNCTION("""COMPUTED_VALUE"""),"*Id*")</f>
        <v>*Id*</v>
      </c>
      <c r="B136" s="10" t="str">
        <f>IFERROR(__xludf.DUMMYFUNCTION("""COMPUTED_VALUE"""),"*Nom*")</f>
        <v>*Nom*</v>
      </c>
      <c r="C136" s="10" t="str">
        <f>IFERROR(__xludf.DUMMYFUNCTION("""COMPUTED_VALUE"""),"*Famille*")</f>
        <v>*Famille*</v>
      </c>
      <c r="D136" s="10" t="str">
        <f>IFERROR(__xludf.DUMMYFUNCTION("""COMPUTED_VALUE"""),"*Niv*")</f>
        <v>*Niv*</v>
      </c>
      <c r="E136" s="10" t="str">
        <f>IFERROR(__xludf.DUMMYFUNCTION("""COMPUTED_VALUE"""),"*Nb att*")</f>
        <v>*Nb att*</v>
      </c>
      <c r="F136" s="10" t="str">
        <f>IFERROR(__xludf.DUMMYFUNCTION("""COMPUTED_VALUE"""),"*Att mag*")</f>
        <v>*Att mag*</v>
      </c>
      <c r="G136" s="10" t="str">
        <f>IFERROR(__xludf.DUMMYFUNCTION("""COMPUTED_VALUE"""),"*Att dist*")</f>
        <v>*Att dist*</v>
      </c>
      <c r="H136" s="10" t="str">
        <f>IFERROR(__xludf.DUMMYFUNCTION("""COMPUTED_VALUE"""),"*Vit*")</f>
        <v>*Vit*</v>
      </c>
      <c r="I136" s="10" t="str">
        <f>IFERROR(__xludf.DUMMYFUNCTION("""COMPUTED_VALUE"""),"*VlC*")</f>
        <v>*VlC*</v>
      </c>
      <c r="J136" s="10" t="str">
        <f>IFERROR(__xludf.DUMMYFUNCTION("""COMPUTED_VALUE"""),"*Pouvoir 1*")</f>
        <v>*Pouvoir 1*</v>
      </c>
      <c r="K136" s="10" t="str">
        <f>IFERROR(__xludf.DUMMYFUNCTION("""COMPUTED_VALUE"""),"*Pouvoir 2*")</f>
        <v>*Pouvoir 2*</v>
      </c>
      <c r="L136" s="10" t="str">
        <f>IFERROR(__xludf.DUMMYFUNCTION("""COMPUTED_VALUE"""),"*PV*")</f>
        <v>*PV*</v>
      </c>
      <c r="M136" s="10" t="str">
        <f>IFERROR(__xludf.DUMMYFUNCTION("""COMPUTED_VALUE"""),"*Att*")</f>
        <v>*Att*</v>
      </c>
      <c r="N136" s="10" t="str">
        <f>IFERROR(__xludf.DUMMYFUNCTION("""COMPUTED_VALUE"""),"*Esq*")</f>
        <v>*Esq*</v>
      </c>
      <c r="O136" s="10" t="str">
        <f>IFERROR(__xludf.DUMMYFUNCTION("""COMPUTED_VALUE"""),"*Dégât*")</f>
        <v>*Dégât*</v>
      </c>
      <c r="P136" s="10" t="str">
        <f>IFERROR(__xludf.DUMMYFUNCTION("""COMPUTED_VALUE"""),"*Vue*")</f>
        <v>*Vue*</v>
      </c>
      <c r="Q136" s="10" t="str">
        <f>IFERROR(__xludf.DUMMYFUNCTION("""COMPUTED_VALUE"""),"*Régen*")</f>
        <v>*Régen*</v>
      </c>
      <c r="R136" s="10" t="str">
        <f>IFERROR(__xludf.DUMMYFUNCTION("""COMPUTED_VALUE"""),"*Arm phy*")</f>
        <v>*Arm phy*</v>
      </c>
      <c r="S136" s="10" t="str">
        <f>IFERROR(__xludf.DUMMYFUNCTION("""COMPUTED_VALUE"""),"*Arm mag*")</f>
        <v>*Arm mag*</v>
      </c>
      <c r="T136" s="10" t="str">
        <f>IFERROR(__xludf.DUMMYFUNCTION("""COMPUTED_VALUE"""),"*MM*")</f>
        <v>*MM*</v>
      </c>
      <c r="U136" s="10" t="str">
        <f>IFERROR(__xludf.DUMMYFUNCTION("""COMPUTED_VALUE"""),"*RM*")</f>
        <v>*RM*</v>
      </c>
      <c r="V136" s="10" t="str">
        <f>IFERROR(__xludf.DUMMYFUNCTION("""COMPUTED_VALUE"""),"*DLA*")</f>
        <v>*DLA*</v>
      </c>
      <c r="W136" s="10" t="str">
        <f>IFERROR(__xludf.DUMMYFUNCTION("""COMPUTED_VALUE"""),"*Echant*")</f>
        <v>*Echant*</v>
      </c>
      <c r="X136" s="10" t="str">
        <f>IFERROR(__xludf.DUMMYFUNCTION("""COMPUTED_VALUE"""),"")</f>
        <v/>
      </c>
      <c r="Y136" s="10"/>
      <c r="Z136" s="10"/>
      <c r="AA136" s="10"/>
      <c r="AB136" s="10"/>
      <c r="AC136" s="10"/>
      <c r="AD136" s="10"/>
      <c r="AE136" s="10"/>
      <c r="AF136" s="10"/>
      <c r="AG136" s="10"/>
      <c r="AH136" s="10"/>
    </row>
    <row r="137">
      <c r="A137" s="10">
        <f>IFERROR(__xludf.DUMMYFUNCTION("""COMPUTED_VALUE"""),17.0)</f>
        <v>17</v>
      </c>
      <c r="B137" s="10" t="str">
        <f>IFERROR(__xludf.DUMMYFUNCTION("""COMPUTED_VALUE"""),"Ogre")</f>
        <v>Ogre</v>
      </c>
      <c r="C137" s="10" t="str">
        <f>IFERROR(__xludf.DUMMYFUNCTION("""COMPUTED_VALUE"""),"Humanoïde")</f>
        <v>Humanoïde</v>
      </c>
      <c r="D137" s="10">
        <f>IFERROR(__xludf.DUMMYFUNCTION("""COMPUTED_VALUE"""),7.0)</f>
        <v>7</v>
      </c>
      <c r="E137" s="10">
        <f>IFERROR(__xludf.DUMMYFUNCTION("""COMPUTED_VALUE"""),1.0)</f>
        <v>1</v>
      </c>
      <c r="F137" s="10" t="str">
        <f>IFERROR(__xludf.DUMMYFUNCTION("""COMPUTED_VALUE"""),"")</f>
        <v/>
      </c>
      <c r="G137" s="10" t="str">
        <f>IFERROR(__xludf.DUMMYFUNCTION("""COMPUTED_VALUE"""),"Non")</f>
        <v>Non</v>
      </c>
      <c r="H137" s="10" t="str">
        <f>IFERROR(__xludf.DUMMYFUNCTION("""COMPUTED_VALUE"""),"Normale")</f>
        <v>Normale</v>
      </c>
      <c r="I137" s="10" t="str">
        <f>IFERROR(__xludf.DUMMYFUNCTION("""COMPUTED_VALUE"""),"Non")</f>
        <v>Non</v>
      </c>
      <c r="J137" s="10" t="str">
        <f>IFERROR(__xludf.DUMMYFUNCTION("""COMPUTED_VALUE"""),"-")</f>
        <v>-</v>
      </c>
      <c r="K137" s="10" t="str">
        <f>IFERROR(__xludf.DUMMYFUNCTION("""COMPUTED_VALUE"""),"-")</f>
        <v>-</v>
      </c>
      <c r="L137" s="10" t="str">
        <f>IFERROR(__xludf.DUMMYFUNCTION("""COMPUTED_VALUE"""),"65 ±30")</f>
        <v>65 ±30</v>
      </c>
      <c r="M137" s="10" t="str">
        <f>IFERROR(__xludf.DUMMYFUNCTION("""COMPUTED_VALUE"""),"6 ±3")</f>
        <v>6 ±3</v>
      </c>
      <c r="N137" s="10" t="str">
        <f>IFERROR(__xludf.DUMMYFUNCTION("""COMPUTED_VALUE"""),"4 ±3")</f>
        <v>4 ±3</v>
      </c>
      <c r="O137" s="10" t="str">
        <f>IFERROR(__xludf.DUMMYFUNCTION("""COMPUTED_VALUE"""),"6 ±3")</f>
        <v>6 ±3</v>
      </c>
      <c r="P137" s="10" t="str">
        <f>IFERROR(__xludf.DUMMYFUNCTION("""COMPUTED_VALUE"""),"3 ±2")</f>
        <v>3 ±2</v>
      </c>
      <c r="Q137" s="10" t="str">
        <f>IFERROR(__xludf.DUMMYFUNCTION("""COMPUTED_VALUE"""),"1 ±1")</f>
        <v>1 ±1</v>
      </c>
      <c r="R137" s="10" t="str">
        <f>IFERROR(__xludf.DUMMYFUNCTION("""COMPUTED_VALUE"""),"4 ±2")</f>
        <v>4 ±2</v>
      </c>
      <c r="S137" s="10" t="str">
        <f>IFERROR(__xludf.DUMMYFUNCTION("""COMPUTED_VALUE"""),"")</f>
        <v/>
      </c>
      <c r="T137" s="10" t="str">
        <f>IFERROR(__xludf.DUMMYFUNCTION("""COMPUTED_VALUE"""),"200 ±300")</f>
        <v>200 ±300</v>
      </c>
      <c r="U137" s="10" t="str">
        <f>IFERROR(__xludf.DUMMYFUNCTION("""COMPUTED_VALUE"""),"100 ±200")</f>
        <v>100 ±200</v>
      </c>
      <c r="V137" s="10" t="str">
        <f>IFERROR(__xludf.DUMMYFUNCTION("""COMPUTED_VALUE"""),"11 ±4")</f>
        <v>11 ±4</v>
      </c>
      <c r="W137" s="10">
        <f>IFERROR(__xludf.DUMMYFUNCTION("""COMPUTED_VALUE"""),28.0)</f>
        <v>28</v>
      </c>
      <c r="X137" s="10" t="str">
        <f>IFERROR(__xludf.DUMMYFUNCTION("""COMPUTED_VALUE"""),"")</f>
        <v/>
      </c>
      <c r="Y137" s="10"/>
      <c r="Z137" s="10"/>
      <c r="AA137" s="10"/>
      <c r="AB137" s="10"/>
      <c r="AC137" s="10"/>
      <c r="AD137" s="10"/>
      <c r="AE137" s="10"/>
      <c r="AF137" s="10"/>
      <c r="AG137" s="10"/>
      <c r="AH137" s="10"/>
    </row>
    <row r="138">
      <c r="A138" s="10">
        <f>IFERROR(__xludf.DUMMYFUNCTION("""COMPUTED_VALUE"""),128.0)</f>
        <v>128</v>
      </c>
      <c r="B138" s="10" t="str">
        <f>IFERROR(__xludf.DUMMYFUNCTION("""COMPUTED_VALUE"""),"Ombre")</f>
        <v>Ombre</v>
      </c>
      <c r="C138" s="10" t="str">
        <f>IFERROR(__xludf.DUMMYFUNCTION("""COMPUTED_VALUE"""),"Mort-Vivant")</f>
        <v>Mort-Vivant</v>
      </c>
      <c r="D138" s="10">
        <f>IFERROR(__xludf.DUMMYFUNCTION("""COMPUTED_VALUE"""),2.0)</f>
        <v>2</v>
      </c>
      <c r="E138" s="10">
        <f>IFERROR(__xludf.DUMMYFUNCTION("""COMPUTED_VALUE"""),1.0)</f>
        <v>1</v>
      </c>
      <c r="F138" s="10" t="str">
        <f>IFERROR(__xludf.DUMMYFUNCTION("""COMPUTED_VALUE"""),"Oui")</f>
        <v>Oui</v>
      </c>
      <c r="G138" s="10" t="str">
        <f>IFERROR(__xludf.DUMMYFUNCTION("""COMPUTED_VALUE"""),"Non")</f>
        <v>Non</v>
      </c>
      <c r="H138" s="10" t="str">
        <f>IFERROR(__xludf.DUMMYFUNCTION("""COMPUTED_VALUE"""),"Normale")</f>
        <v>Normale</v>
      </c>
      <c r="I138" s="10" t="str">
        <f>IFERROR(__xludf.DUMMYFUNCTION("""COMPUTED_VALUE"""),"Oui")</f>
        <v>Oui</v>
      </c>
      <c r="J138" s="10" t="str">
        <f>IFERROR(__xludf.DUMMYFUNCTION("""COMPUTED_VALUE"""),"Attaque affaiblissante - ?")</f>
        <v>Attaque affaiblissante - ?</v>
      </c>
      <c r="K138" s="10" t="str">
        <f>IFERROR(__xludf.DUMMYFUNCTION("""COMPUTED_VALUE"""),"-")</f>
        <v>-</v>
      </c>
      <c r="L138" s="10" t="str">
        <f>IFERROR(__xludf.DUMMYFUNCTION("""COMPUTED_VALUE"""),"35 ±30")</f>
        <v>35 ±30</v>
      </c>
      <c r="M138" s="10" t="str">
        <f>IFERROR(__xludf.DUMMYFUNCTION("""COMPUTED_VALUE"""),"4 ±3")</f>
        <v>4 ±3</v>
      </c>
      <c r="N138" s="10" t="str">
        <f>IFERROR(__xludf.DUMMYFUNCTION("""COMPUTED_VALUE"""),"4 ±3")</f>
        <v>4 ±3</v>
      </c>
      <c r="O138" s="10" t="str">
        <f>IFERROR(__xludf.DUMMYFUNCTION("""COMPUTED_VALUE"""),"4 ±3")</f>
        <v>4 ±3</v>
      </c>
      <c r="P138" s="10" t="str">
        <f>IFERROR(__xludf.DUMMYFUNCTION("""COMPUTED_VALUE"""),"3 ±2")</f>
        <v>3 ±2</v>
      </c>
      <c r="Q138" s="10" t="str">
        <f>IFERROR(__xludf.DUMMYFUNCTION("""COMPUTED_VALUE"""),"1 ±1")</f>
        <v>1 ±1</v>
      </c>
      <c r="R138" s="10" t="str">
        <f>IFERROR(__xludf.DUMMYFUNCTION("""COMPUTED_VALUE"""),"1 ±2")</f>
        <v>1 ±2</v>
      </c>
      <c r="S138" s="10" t="str">
        <f>IFERROR(__xludf.DUMMYFUNCTION("""COMPUTED_VALUE"""),"")</f>
        <v/>
      </c>
      <c r="T138" s="10" t="str">
        <f>IFERROR(__xludf.DUMMYFUNCTION("""COMPUTED_VALUE"""),"100 ±200")</f>
        <v>100 ±200</v>
      </c>
      <c r="U138" s="10" t="str">
        <f>IFERROR(__xludf.DUMMYFUNCTION("""COMPUTED_VALUE"""),"100 ±200")</f>
        <v>100 ±200</v>
      </c>
      <c r="V138" s="10" t="str">
        <f>IFERROR(__xludf.DUMMYFUNCTION("""COMPUTED_VALUE"""),"10 ±3")</f>
        <v>10 ±3</v>
      </c>
      <c r="W138" s="10">
        <f>IFERROR(__xludf.DUMMYFUNCTION("""COMPUTED_VALUE"""),19.0)</f>
        <v>19</v>
      </c>
      <c r="X138" s="10" t="str">
        <f>IFERROR(__xludf.DUMMYFUNCTION("""COMPUTED_VALUE"""),"")</f>
        <v/>
      </c>
      <c r="Y138" s="10"/>
      <c r="Z138" s="10"/>
      <c r="AA138" s="10"/>
      <c r="AB138" s="10"/>
      <c r="AC138" s="10"/>
      <c r="AD138" s="10"/>
      <c r="AE138" s="10"/>
      <c r="AF138" s="10"/>
      <c r="AG138" s="10"/>
      <c r="AH138" s="10"/>
    </row>
    <row r="139">
      <c r="A139" s="10">
        <f>IFERROR(__xludf.DUMMYFUNCTION("""COMPUTED_VALUE"""),66.0)</f>
        <v>66</v>
      </c>
      <c r="B139" s="10" t="str">
        <f>IFERROR(__xludf.DUMMYFUNCTION("""COMPUTED_VALUE"""),"Ombre de Roches")</f>
        <v>Ombre de Roches</v>
      </c>
      <c r="C139" s="10" t="str">
        <f>IFERROR(__xludf.DUMMYFUNCTION("""COMPUTED_VALUE"""),"Monstre")</f>
        <v>Monstre</v>
      </c>
      <c r="D139" s="10">
        <f>IFERROR(__xludf.DUMMYFUNCTION("""COMPUTED_VALUE"""),13.0)</f>
        <v>13</v>
      </c>
      <c r="E139" s="10">
        <f>IFERROR(__xludf.DUMMYFUNCTION("""COMPUTED_VALUE"""),1.0)</f>
        <v>1</v>
      </c>
      <c r="F139" s="10" t="str">
        <f>IFERROR(__xludf.DUMMYFUNCTION("""COMPUTED_VALUE"""),"")</f>
        <v/>
      </c>
      <c r="G139" s="10" t="str">
        <f>IFERROR(__xludf.DUMMYFUNCTION("""COMPUTED_VALUE"""),"Non")</f>
        <v>Non</v>
      </c>
      <c r="H139" s="10" t="str">
        <f>IFERROR(__xludf.DUMMYFUNCTION("""COMPUTED_VALUE"""),"Rapide")</f>
        <v>Rapide</v>
      </c>
      <c r="I139" s="10" t="str">
        <f>IFERROR(__xludf.DUMMYFUNCTION("""COMPUTED_VALUE"""),"Oui")</f>
        <v>Oui</v>
      </c>
      <c r="J139" s="10" t="str">
        <f>IFERROR(__xludf.DUMMYFUNCTION("""COMPUTED_VALUE"""),"-")</f>
        <v>-</v>
      </c>
      <c r="K139" s="10" t="str">
        <f>IFERROR(__xludf.DUMMYFUNCTION("""COMPUTED_VALUE"""),"-")</f>
        <v>-</v>
      </c>
      <c r="L139" s="10" t="str">
        <f>IFERROR(__xludf.DUMMYFUNCTION("""COMPUTED_VALUE"""),"100 ±35")</f>
        <v>100 ±35</v>
      </c>
      <c r="M139" s="10" t="str">
        <f>IFERROR(__xludf.DUMMYFUNCTION("""COMPUTED_VALUE"""),"8 ±3")</f>
        <v>8 ±3</v>
      </c>
      <c r="N139" s="10" t="str">
        <f>IFERROR(__xludf.DUMMYFUNCTION("""COMPUTED_VALUE"""),"6 ±3")</f>
        <v>6 ±3</v>
      </c>
      <c r="O139" s="10" t="str">
        <f>IFERROR(__xludf.DUMMYFUNCTION("""COMPUTED_VALUE"""),"9 ±3")</f>
        <v>9 ±3</v>
      </c>
      <c r="P139" s="10" t="str">
        <f>IFERROR(__xludf.DUMMYFUNCTION("""COMPUTED_VALUE"""),"2 ±2")</f>
        <v>2 ±2</v>
      </c>
      <c r="Q139" s="10" t="str">
        <f>IFERROR(__xludf.DUMMYFUNCTION("""COMPUTED_VALUE"""),"3 ±1")</f>
        <v>3 ±1</v>
      </c>
      <c r="R139" s="10" t="str">
        <f>IFERROR(__xludf.DUMMYFUNCTION("""COMPUTED_VALUE"""),"15 ±4")</f>
        <v>15 ±4</v>
      </c>
      <c r="S139" s="10" t="str">
        <f>IFERROR(__xludf.DUMMYFUNCTION("""COMPUTED_VALUE"""),"")</f>
        <v/>
      </c>
      <c r="T139" s="10" t="str">
        <f>IFERROR(__xludf.DUMMYFUNCTION("""COMPUTED_VALUE"""),"600 ±300")</f>
        <v>600 ±300</v>
      </c>
      <c r="U139" s="10" t="str">
        <f>IFERROR(__xludf.DUMMYFUNCTION("""COMPUTED_VALUE"""),"200 ±200")</f>
        <v>200 ±200</v>
      </c>
      <c r="V139" s="10" t="str">
        <f>IFERROR(__xludf.DUMMYFUNCTION("""COMPUTED_VALUE"""),"12 ±3")</f>
        <v>12 ±3</v>
      </c>
      <c r="W139" s="10">
        <f>IFERROR(__xludf.DUMMYFUNCTION("""COMPUTED_VALUE"""),38.0)</f>
        <v>38</v>
      </c>
      <c r="X139" s="10" t="str">
        <f>IFERROR(__xludf.DUMMYFUNCTION("""COMPUTED_VALUE"""),"")</f>
        <v/>
      </c>
      <c r="Y139" s="10"/>
      <c r="Z139" s="10"/>
      <c r="AA139" s="10"/>
      <c r="AB139" s="10"/>
      <c r="AC139" s="10"/>
      <c r="AD139" s="10"/>
      <c r="AE139" s="10"/>
      <c r="AF139" s="10"/>
      <c r="AG139" s="10"/>
      <c r="AH139" s="10"/>
    </row>
    <row r="140">
      <c r="A140" s="10">
        <f>IFERROR(__xludf.DUMMYFUNCTION("""COMPUTED_VALUE"""),3.0)</f>
        <v>3</v>
      </c>
      <c r="B140" s="10" t="str">
        <f>IFERROR(__xludf.DUMMYFUNCTION("""COMPUTED_VALUE"""),"Orque")</f>
        <v>Orque</v>
      </c>
      <c r="C140" s="10" t="str">
        <f>IFERROR(__xludf.DUMMYFUNCTION("""COMPUTED_VALUE"""),"Humanoïde")</f>
        <v>Humanoïde</v>
      </c>
      <c r="D140" s="10">
        <f>IFERROR(__xludf.DUMMYFUNCTION("""COMPUTED_VALUE"""),3.0)</f>
        <v>3</v>
      </c>
      <c r="E140" s="10">
        <f>IFERROR(__xludf.DUMMYFUNCTION("""COMPUTED_VALUE"""),1.0)</f>
        <v>1</v>
      </c>
      <c r="F140" s="10" t="str">
        <f>IFERROR(__xludf.DUMMYFUNCTION("""COMPUTED_VALUE"""),"")</f>
        <v/>
      </c>
      <c r="G140" s="10" t="str">
        <f>IFERROR(__xludf.DUMMYFUNCTION("""COMPUTED_VALUE"""),"Non")</f>
        <v>Non</v>
      </c>
      <c r="H140" s="10" t="str">
        <f>IFERROR(__xludf.DUMMYFUNCTION("""COMPUTED_VALUE"""),"Normale")</f>
        <v>Normale</v>
      </c>
      <c r="I140" s="10" t="str">
        <f>IFERROR(__xludf.DUMMYFUNCTION("""COMPUTED_VALUE"""),"Non")</f>
        <v>Non</v>
      </c>
      <c r="J140" s="10" t="str">
        <f>IFERROR(__xludf.DUMMYFUNCTION("""COMPUTED_VALUE"""),"-")</f>
        <v>-</v>
      </c>
      <c r="K140" s="10" t="str">
        <f>IFERROR(__xludf.DUMMYFUNCTION("""COMPUTED_VALUE"""),"-")</f>
        <v>-</v>
      </c>
      <c r="L140" s="10" t="str">
        <f>IFERROR(__xludf.DUMMYFUNCTION("""COMPUTED_VALUE"""),"40 ±25")</f>
        <v>40 ±25</v>
      </c>
      <c r="M140" s="10" t="str">
        <f>IFERROR(__xludf.DUMMYFUNCTION("""COMPUTED_VALUE"""),"4 ±3")</f>
        <v>4 ±3</v>
      </c>
      <c r="N140" s="10" t="str">
        <f>IFERROR(__xludf.DUMMYFUNCTION("""COMPUTED_VALUE"""),"3 ±2")</f>
        <v>3 ±2</v>
      </c>
      <c r="O140" s="10" t="str">
        <f>IFERROR(__xludf.DUMMYFUNCTION("""COMPUTED_VALUE"""),"5 ±3")</f>
        <v>5 ±3</v>
      </c>
      <c r="P140" s="10" t="str">
        <f>IFERROR(__xludf.DUMMYFUNCTION("""COMPUTED_VALUE"""),"3 ±2")</f>
        <v>3 ±2</v>
      </c>
      <c r="Q140" s="10" t="str">
        <f>IFERROR(__xludf.DUMMYFUNCTION("""COMPUTED_VALUE"""),"1 ±1")</f>
        <v>1 ±1</v>
      </c>
      <c r="R140" s="10" t="str">
        <f>IFERROR(__xludf.DUMMYFUNCTION("""COMPUTED_VALUE"""),"4 ±3")</f>
        <v>4 ±3</v>
      </c>
      <c r="S140" s="10" t="str">
        <f>IFERROR(__xludf.DUMMYFUNCTION("""COMPUTED_VALUE"""),"")</f>
        <v/>
      </c>
      <c r="T140" s="10" t="str">
        <f>IFERROR(__xludf.DUMMYFUNCTION("""COMPUTED_VALUE"""),"200 ±200")</f>
        <v>200 ±200</v>
      </c>
      <c r="U140" s="10" t="str">
        <f>IFERROR(__xludf.DUMMYFUNCTION("""COMPUTED_VALUE"""),"100 ±100")</f>
        <v>100 ±100</v>
      </c>
      <c r="V140" s="10" t="str">
        <f>IFERROR(__xludf.DUMMYFUNCTION("""COMPUTED_VALUE"""),"14 ±3")</f>
        <v>14 ±3</v>
      </c>
      <c r="W140" s="10">
        <f>IFERROR(__xludf.DUMMYFUNCTION("""COMPUTED_VALUE"""),13.0)</f>
        <v>13</v>
      </c>
      <c r="X140" s="10" t="str">
        <f>IFERROR(__xludf.DUMMYFUNCTION("""COMPUTED_VALUE"""),"")</f>
        <v/>
      </c>
      <c r="Y140" s="10"/>
      <c r="Z140" s="10"/>
      <c r="AA140" s="10"/>
      <c r="AB140" s="10"/>
      <c r="AC140" s="10"/>
      <c r="AD140" s="10"/>
      <c r="AE140" s="10"/>
      <c r="AF140" s="10"/>
      <c r="AG140" s="10"/>
      <c r="AH140" s="10"/>
    </row>
    <row r="141">
      <c r="A141" s="10">
        <f>IFERROR(__xludf.DUMMYFUNCTION("""COMPUTED_VALUE"""),67.0)</f>
        <v>67</v>
      </c>
      <c r="B141" s="10" t="str">
        <f>IFERROR(__xludf.DUMMYFUNCTION("""COMPUTED_VALUE"""),"Ours-Garou")</f>
        <v>Ours-Garou</v>
      </c>
      <c r="C141" s="10" t="str">
        <f>IFERROR(__xludf.DUMMYFUNCTION("""COMPUTED_VALUE"""),"Humanoïde")</f>
        <v>Humanoïde</v>
      </c>
      <c r="D141" s="10">
        <f>IFERROR(__xludf.DUMMYFUNCTION("""COMPUTED_VALUE"""),18.0)</f>
        <v>18</v>
      </c>
      <c r="E141" s="10">
        <f>IFERROR(__xludf.DUMMYFUNCTION("""COMPUTED_VALUE"""),1.0)</f>
        <v>1</v>
      </c>
      <c r="F141" s="10" t="str">
        <f>IFERROR(__xludf.DUMMYFUNCTION("""COMPUTED_VALUE"""),"")</f>
        <v/>
      </c>
      <c r="G141" s="10" t="str">
        <f>IFERROR(__xludf.DUMMYFUNCTION("""COMPUTED_VALUE"""),"Non")</f>
        <v>Non</v>
      </c>
      <c r="H141" s="10" t="str">
        <f>IFERROR(__xludf.DUMMYFUNCTION("""COMPUTED_VALUE"""),"Normale")</f>
        <v>Normale</v>
      </c>
      <c r="I141" s="10" t="str">
        <f>IFERROR(__xludf.DUMMYFUNCTION("""COMPUTED_VALUE"""),"Non")</f>
        <v>Non</v>
      </c>
      <c r="J141" s="10" t="str">
        <f>IFERROR(__xludf.DUMMYFUNCTION("""COMPUTED_VALUE"""),"-")</f>
        <v>-</v>
      </c>
      <c r="K141" s="10" t="str">
        <f>IFERROR(__xludf.DUMMYFUNCTION("""COMPUTED_VALUE"""),"-")</f>
        <v>-</v>
      </c>
      <c r="L141" s="10" t="str">
        <f>IFERROR(__xludf.DUMMYFUNCTION("""COMPUTED_VALUE"""),"90 ±30")</f>
        <v>90 ±30</v>
      </c>
      <c r="M141" s="10" t="str">
        <f>IFERROR(__xludf.DUMMYFUNCTION("""COMPUTED_VALUE"""),"7 ±3")</f>
        <v>7 ±3</v>
      </c>
      <c r="N141" s="10" t="str">
        <f>IFERROR(__xludf.DUMMYFUNCTION("""COMPUTED_VALUE"""),"5 ±3")</f>
        <v>5 ±3</v>
      </c>
      <c r="O141" s="10" t="str">
        <f>IFERROR(__xludf.DUMMYFUNCTION("""COMPUTED_VALUE"""),"14 ±4")</f>
        <v>14 ±4</v>
      </c>
      <c r="P141" s="10" t="str">
        <f>IFERROR(__xludf.DUMMYFUNCTION("""COMPUTED_VALUE"""),"3 ±2")</f>
        <v>3 ±2</v>
      </c>
      <c r="Q141" s="10" t="str">
        <f>IFERROR(__xludf.DUMMYFUNCTION("""COMPUTED_VALUE"""),"4 ±1")</f>
        <v>4 ±1</v>
      </c>
      <c r="R141" s="10" t="str">
        <f>IFERROR(__xludf.DUMMYFUNCTION("""COMPUTED_VALUE"""),"5 ±3")</f>
        <v>5 ±3</v>
      </c>
      <c r="S141" s="10" t="str">
        <f>IFERROR(__xludf.DUMMYFUNCTION("""COMPUTED_VALUE"""),"")</f>
        <v/>
      </c>
      <c r="T141" s="10" t="str">
        <f>IFERROR(__xludf.DUMMYFUNCTION("""COMPUTED_VALUE"""),"700 ±400")</f>
        <v>700 ±400</v>
      </c>
      <c r="U141" s="10" t="str">
        <f>IFERROR(__xludf.DUMMYFUNCTION("""COMPUTED_VALUE"""),"300 ±200")</f>
        <v>300 ±200</v>
      </c>
      <c r="V141" s="10" t="str">
        <f>IFERROR(__xludf.DUMMYFUNCTION("""COMPUTED_VALUE"""),"12 ±3")</f>
        <v>12 ±3</v>
      </c>
      <c r="W141" s="10">
        <f>IFERROR(__xludf.DUMMYFUNCTION("""COMPUTED_VALUE"""),61.0)</f>
        <v>61</v>
      </c>
      <c r="X141" s="10" t="str">
        <f>IFERROR(__xludf.DUMMYFUNCTION("""COMPUTED_VALUE"""),"")</f>
        <v/>
      </c>
      <c r="Y141" s="10"/>
      <c r="Z141" s="10"/>
      <c r="AA141" s="10"/>
      <c r="AB141" s="10"/>
      <c r="AC141" s="10"/>
      <c r="AD141" s="10"/>
      <c r="AE141" s="10"/>
      <c r="AF141" s="10"/>
      <c r="AG141" s="10"/>
      <c r="AH141" s="10"/>
    </row>
    <row r="142">
      <c r="A142" s="10">
        <f>IFERROR(__xludf.DUMMYFUNCTION("""COMPUTED_VALUE"""),119.0)</f>
        <v>119</v>
      </c>
      <c r="B142" s="10" t="str">
        <f>IFERROR(__xludf.DUMMYFUNCTION("""COMPUTED_VALUE"""),"Palefroi Infernal")</f>
        <v>Palefroi Infernal</v>
      </c>
      <c r="C142" s="10" t="str">
        <f>IFERROR(__xludf.DUMMYFUNCTION("""COMPUTED_VALUE"""),"Démon")</f>
        <v>Démon</v>
      </c>
      <c r="D142" s="10">
        <f>IFERROR(__xludf.DUMMYFUNCTION("""COMPUTED_VALUE"""),29.0)</f>
        <v>29</v>
      </c>
      <c r="E142" s="10">
        <f>IFERROR(__xludf.DUMMYFUNCTION("""COMPUTED_VALUE"""),2.0)</f>
        <v>2</v>
      </c>
      <c r="F142" s="10" t="str">
        <f>IFERROR(__xludf.DUMMYFUNCTION("""COMPUTED_VALUE"""),"Non")</f>
        <v>Non</v>
      </c>
      <c r="G142" s="10" t="str">
        <f>IFERROR(__xludf.DUMMYFUNCTION("""COMPUTED_VALUE"""),"Non")</f>
        <v>Non</v>
      </c>
      <c r="H142" s="10" t="str">
        <f>IFERROR(__xludf.DUMMYFUNCTION("""COMPUTED_VALUE"""),"Rapide")</f>
        <v>Rapide</v>
      </c>
      <c r="I142" s="10" t="str">
        <f>IFERROR(__xludf.DUMMYFUNCTION("""COMPUTED_VALUE"""),"Oui")</f>
        <v>Oui</v>
      </c>
      <c r="J142" s="10" t="str">
        <f>IFERROR(__xludf.DUMMYFUNCTION("""COMPUTED_VALUE"""),"Souffle de feu - Auto")</f>
        <v>Souffle de feu - Auto</v>
      </c>
      <c r="K142" s="10" t="str">
        <f>IFERROR(__xludf.DUMMYFUNCTION("""COMPUTED_VALUE"""),"-")</f>
        <v>-</v>
      </c>
      <c r="L142" s="10" t="str">
        <f>IFERROR(__xludf.DUMMYFUNCTION("""COMPUTED_VALUE"""),"105 ±35")</f>
        <v>105 ±35</v>
      </c>
      <c r="M142" s="10" t="str">
        <f>IFERROR(__xludf.DUMMYFUNCTION("""COMPUTED_VALUE"""),"9 ±3")</f>
        <v>9 ±3</v>
      </c>
      <c r="N142" s="10" t="str">
        <f>IFERROR(__xludf.DUMMYFUNCTION("""COMPUTED_VALUE"""),"15 ±4")</f>
        <v>15 ±4</v>
      </c>
      <c r="O142" s="10" t="str">
        <f>IFERROR(__xludf.DUMMYFUNCTION("""COMPUTED_VALUE"""),"10 ±3")</f>
        <v>10 ±3</v>
      </c>
      <c r="P142" s="10" t="str">
        <f>IFERROR(__xludf.DUMMYFUNCTION("""COMPUTED_VALUE"""),"4 ±2")</f>
        <v>4 ±2</v>
      </c>
      <c r="Q142" s="10" t="str">
        <f>IFERROR(__xludf.DUMMYFUNCTION("""COMPUTED_VALUE"""),"4 ±1")</f>
        <v>4 ±1</v>
      </c>
      <c r="R142" s="10" t="str">
        <f>IFERROR(__xludf.DUMMYFUNCTION("""COMPUTED_VALUE"""),"7 ±3")</f>
        <v>7 ±3</v>
      </c>
      <c r="S142" s="10" t="str">
        <f>IFERROR(__xludf.DUMMYFUNCTION("""COMPUTED_VALUE"""),"")</f>
        <v/>
      </c>
      <c r="T142" s="10" t="str">
        <f>IFERROR(__xludf.DUMMYFUNCTION("""COMPUTED_VALUE"""),"3000 ±700")</f>
        <v>3000 ±700</v>
      </c>
      <c r="U142" s="10" t="str">
        <f>IFERROR(__xludf.DUMMYFUNCTION("""COMPUTED_VALUE"""),"1300 ±400")</f>
        <v>1300 ±400</v>
      </c>
      <c r="V142" s="10" t="str">
        <f>IFERROR(__xludf.DUMMYFUNCTION("""COMPUTED_VALUE"""),"9 ±3")</f>
        <v>9 ±3</v>
      </c>
      <c r="W142" s="10">
        <f>IFERROR(__xludf.DUMMYFUNCTION("""COMPUTED_VALUE"""),136.0)</f>
        <v>136</v>
      </c>
      <c r="X142" s="10" t="str">
        <f>IFERROR(__xludf.DUMMYFUNCTION("""COMPUTED_VALUE"""),"")</f>
        <v/>
      </c>
      <c r="Y142" s="10"/>
      <c r="Z142" s="10"/>
      <c r="AA142" s="10"/>
      <c r="AB142" s="10"/>
      <c r="AC142" s="10"/>
      <c r="AD142" s="10"/>
      <c r="AE142" s="10"/>
      <c r="AF142" s="10"/>
      <c r="AG142" s="10"/>
      <c r="AH142" s="10"/>
    </row>
    <row r="143">
      <c r="A143" s="10">
        <f>IFERROR(__xludf.DUMMYFUNCTION("""COMPUTED_VALUE"""),108.0)</f>
        <v>108</v>
      </c>
      <c r="B143" s="10" t="str">
        <f>IFERROR(__xludf.DUMMYFUNCTION("""COMPUTED_VALUE"""),"Phoenix")</f>
        <v>Phoenix</v>
      </c>
      <c r="C143" s="10" t="str">
        <f>IFERROR(__xludf.DUMMYFUNCTION("""COMPUTED_VALUE"""),"Monstre")</f>
        <v>Monstre</v>
      </c>
      <c r="D143" s="10" t="str">
        <f>IFERROR(__xludf.DUMMYFUNCTION("""COMPUTED_VALUE"""),"32/34/36")</f>
        <v>32/34/36</v>
      </c>
      <c r="E143" s="10">
        <f>IFERROR(__xludf.DUMMYFUNCTION("""COMPUTED_VALUE"""),1.0)</f>
        <v>1</v>
      </c>
      <c r="F143" s="10" t="str">
        <f>IFERROR(__xludf.DUMMYFUNCTION("""COMPUTED_VALUE"""),"Non")</f>
        <v>Non</v>
      </c>
      <c r="G143" s="10" t="str">
        <f>IFERROR(__xludf.DUMMYFUNCTION("""COMPUTED_VALUE"""),"Non")</f>
        <v>Non</v>
      </c>
      <c r="H143" s="10" t="str">
        <f>IFERROR(__xludf.DUMMYFUNCTION("""COMPUTED_VALUE"""),"Rapide")</f>
        <v>Rapide</v>
      </c>
      <c r="I143" s="10" t="str">
        <f>IFERROR(__xludf.DUMMYFUNCTION("""COMPUTED_VALUE"""),"Oui à la 3ème gene")</f>
        <v>Oui à la 3ème gene</v>
      </c>
      <c r="J143" s="10" t="str">
        <f>IFERROR(__xludf.DUMMYFUNCTION("""COMPUTED_VALUE"""),"*G1 et G2:Aura de feu *G3: Aura vengeresse - Zone (1)")</f>
        <v>*G1 et G2:Aura de feu *G3: Aura vengeresse - Zone (1)</v>
      </c>
      <c r="K143" s="10" t="str">
        <f>IFERROR(__xludf.DUMMYFUNCTION("""COMPUTED_VALUE"""),"Mort : Kaboum")</f>
        <v>Mort : Kaboum</v>
      </c>
      <c r="L143" s="10" t="str">
        <f>IFERROR(__xludf.DUMMYFUNCTION("""COMPUTED_VALUE"""),"135 ±45")</f>
        <v>135 ±45</v>
      </c>
      <c r="M143" s="10" t="str">
        <f>IFERROR(__xludf.DUMMYFUNCTION("""COMPUTED_VALUE"""),"12 ±4")</f>
        <v>12 ±4</v>
      </c>
      <c r="N143" s="10" t="str">
        <f>IFERROR(__xludf.DUMMYFUNCTION("""COMPUTED_VALUE"""),"20 ±3")</f>
        <v>20 ±3</v>
      </c>
      <c r="O143" s="10" t="str">
        <f>IFERROR(__xludf.DUMMYFUNCTION("""COMPUTED_VALUE"""),"8 ±5")</f>
        <v>8 ±5</v>
      </c>
      <c r="P143" s="10" t="str">
        <f>IFERROR(__xludf.DUMMYFUNCTION("""COMPUTED_VALUE"""),"4 ±3")</f>
        <v>4 ±3</v>
      </c>
      <c r="Q143" s="10" t="str">
        <f>IFERROR(__xludf.DUMMYFUNCTION("""COMPUTED_VALUE"""),"5 ±2")</f>
        <v>5 ±2</v>
      </c>
      <c r="R143" s="10" t="str">
        <f>IFERROR(__xludf.DUMMYFUNCTION("""COMPUTED_VALUE"""),"17 ±4")</f>
        <v>17 ±4</v>
      </c>
      <c r="S143" s="10" t="str">
        <f>IFERROR(__xludf.DUMMYFUNCTION("""COMPUTED_VALUE"""),"")</f>
        <v/>
      </c>
      <c r="T143" s="10" t="str">
        <f>IFERROR(__xludf.DUMMYFUNCTION("""COMPUTED_VALUE"""),"3600 ±500")</f>
        <v>3600 ±500</v>
      </c>
      <c r="U143" s="10" t="str">
        <f>IFERROR(__xludf.DUMMYFUNCTION("""COMPUTED_VALUE"""),"2600 ±600")</f>
        <v>2600 ±600</v>
      </c>
      <c r="V143" s="10" t="str">
        <f>IFERROR(__xludf.DUMMYFUNCTION("""COMPUTED_VALUE"""),"11 ±4")</f>
        <v>11 ±4</v>
      </c>
      <c r="W143" s="10">
        <f>IFERROR(__xludf.DUMMYFUNCTION("""COMPUTED_VALUE"""),107.0)</f>
        <v>107</v>
      </c>
      <c r="X143" s="10" t="str">
        <f>IFERROR(__xludf.DUMMYFUNCTION("""COMPUTED_VALUE"""),"")</f>
        <v/>
      </c>
      <c r="Y143" s="10"/>
      <c r="Z143" s="10"/>
      <c r="AA143" s="10"/>
      <c r="AB143" s="10"/>
      <c r="AC143" s="10"/>
      <c r="AD143" s="10"/>
      <c r="AE143" s="10"/>
      <c r="AF143" s="10"/>
      <c r="AG143" s="10"/>
      <c r="AH143" s="10"/>
    </row>
    <row r="144">
      <c r="A144" s="10" t="str">
        <f>IFERROR(__xludf.DUMMYFUNCTION("""COMPUTED_VALUE"""),"*Id*")</f>
        <v>*Id*</v>
      </c>
      <c r="B144" s="10" t="str">
        <f>IFERROR(__xludf.DUMMYFUNCTION("""COMPUTED_VALUE"""),"*Nom*")</f>
        <v>*Nom*</v>
      </c>
      <c r="C144" s="10" t="str">
        <f>IFERROR(__xludf.DUMMYFUNCTION("""COMPUTED_VALUE"""),"*Famille*")</f>
        <v>*Famille*</v>
      </c>
      <c r="D144" s="10" t="str">
        <f>IFERROR(__xludf.DUMMYFUNCTION("""COMPUTED_VALUE"""),"*Niv*")</f>
        <v>*Niv*</v>
      </c>
      <c r="E144" s="10" t="str">
        <f>IFERROR(__xludf.DUMMYFUNCTION("""COMPUTED_VALUE"""),"*Nb att*")</f>
        <v>*Nb att*</v>
      </c>
      <c r="F144" s="10" t="str">
        <f>IFERROR(__xludf.DUMMYFUNCTION("""COMPUTED_VALUE"""),"*Att mag*")</f>
        <v>*Att mag*</v>
      </c>
      <c r="G144" s="10" t="str">
        <f>IFERROR(__xludf.DUMMYFUNCTION("""COMPUTED_VALUE"""),"*Att dist*")</f>
        <v>*Att dist*</v>
      </c>
      <c r="H144" s="10" t="str">
        <f>IFERROR(__xludf.DUMMYFUNCTION("""COMPUTED_VALUE"""),"*Vit*")</f>
        <v>*Vit*</v>
      </c>
      <c r="I144" s="10" t="str">
        <f>IFERROR(__xludf.DUMMYFUNCTION("""COMPUTED_VALUE"""),"*VlC*")</f>
        <v>*VlC*</v>
      </c>
      <c r="J144" s="10" t="str">
        <f>IFERROR(__xludf.DUMMYFUNCTION("""COMPUTED_VALUE"""),"*Pouvoir 1*")</f>
        <v>*Pouvoir 1*</v>
      </c>
      <c r="K144" s="10" t="str">
        <f>IFERROR(__xludf.DUMMYFUNCTION("""COMPUTED_VALUE"""),"*Pouvoir 2*")</f>
        <v>*Pouvoir 2*</v>
      </c>
      <c r="L144" s="10" t="str">
        <f>IFERROR(__xludf.DUMMYFUNCTION("""COMPUTED_VALUE"""),"*PV*")</f>
        <v>*PV*</v>
      </c>
      <c r="M144" s="10" t="str">
        <f>IFERROR(__xludf.DUMMYFUNCTION("""COMPUTED_VALUE"""),"*Att*")</f>
        <v>*Att*</v>
      </c>
      <c r="N144" s="10" t="str">
        <f>IFERROR(__xludf.DUMMYFUNCTION("""COMPUTED_VALUE"""),"*Esq*")</f>
        <v>*Esq*</v>
      </c>
      <c r="O144" s="10" t="str">
        <f>IFERROR(__xludf.DUMMYFUNCTION("""COMPUTED_VALUE"""),"*Dégât*")</f>
        <v>*Dégât*</v>
      </c>
      <c r="P144" s="10" t="str">
        <f>IFERROR(__xludf.DUMMYFUNCTION("""COMPUTED_VALUE"""),"*Vue*")</f>
        <v>*Vue*</v>
      </c>
      <c r="Q144" s="10" t="str">
        <f>IFERROR(__xludf.DUMMYFUNCTION("""COMPUTED_VALUE"""),"*Régen*")</f>
        <v>*Régen*</v>
      </c>
      <c r="R144" s="10" t="str">
        <f>IFERROR(__xludf.DUMMYFUNCTION("""COMPUTED_VALUE"""),"*Arm phy*")</f>
        <v>*Arm phy*</v>
      </c>
      <c r="S144" s="10" t="str">
        <f>IFERROR(__xludf.DUMMYFUNCTION("""COMPUTED_VALUE"""),"*Arm mag*")</f>
        <v>*Arm mag*</v>
      </c>
      <c r="T144" s="10" t="str">
        <f>IFERROR(__xludf.DUMMYFUNCTION("""COMPUTED_VALUE"""),"*MM*")</f>
        <v>*MM*</v>
      </c>
      <c r="U144" s="10" t="str">
        <f>IFERROR(__xludf.DUMMYFUNCTION("""COMPUTED_VALUE"""),"*RM*")</f>
        <v>*RM*</v>
      </c>
      <c r="V144" s="10" t="str">
        <f>IFERROR(__xludf.DUMMYFUNCTION("""COMPUTED_VALUE"""),"*DLA*")</f>
        <v>*DLA*</v>
      </c>
      <c r="W144" s="10" t="str">
        <f>IFERROR(__xludf.DUMMYFUNCTION("""COMPUTED_VALUE"""),"*Echant*")</f>
        <v>*Echant*</v>
      </c>
      <c r="X144" s="10" t="str">
        <f>IFERROR(__xludf.DUMMYFUNCTION("""COMPUTED_VALUE"""),"*Vole*")</f>
        <v>*Vole*</v>
      </c>
      <c r="Y144" s="10"/>
      <c r="Z144" s="10"/>
      <c r="AA144" s="10"/>
      <c r="AB144" s="10"/>
      <c r="AC144" s="10"/>
      <c r="AD144" s="10"/>
      <c r="AE144" s="10"/>
      <c r="AF144" s="10"/>
      <c r="AG144" s="10"/>
      <c r="AH144" s="10"/>
    </row>
    <row r="145">
      <c r="A145" s="10" t="str">
        <f>IFERROR(__xludf.DUMMYFUNCTION("""COMPUTED_VALUE"""),"")</f>
        <v/>
      </c>
      <c r="B145" s="10" t="str">
        <f>IFERROR(__xludf.DUMMYFUNCTION("""COMPUTED_VALUE"""),"Pititabeilles")</f>
        <v>Pititabeilles</v>
      </c>
      <c r="C145" s="10" t="str">
        <f>IFERROR(__xludf.DUMMYFUNCTION("""COMPUTED_VALUE"""),"Insecte")</f>
        <v>Insecte</v>
      </c>
      <c r="D145" s="10">
        <f>IFERROR(__xludf.DUMMYFUNCTION("""COMPUTED_VALUE"""),0.0)</f>
        <v>0</v>
      </c>
      <c r="E145" s="10">
        <f>IFERROR(__xludf.DUMMYFUNCTION("""COMPUTED_VALUE"""),1.0)</f>
        <v>1</v>
      </c>
      <c r="F145" s="10" t="str">
        <f>IFERROR(__xludf.DUMMYFUNCTION("""COMPUTED_VALUE"""),"Non")</f>
        <v>Non</v>
      </c>
      <c r="G145" s="10" t="str">
        <f>IFERROR(__xludf.DUMMYFUNCTION("""COMPUTED_VALUE"""),"Non")</f>
        <v>Non</v>
      </c>
      <c r="H145" s="10" t="str">
        <f>IFERROR(__xludf.DUMMYFUNCTION("""COMPUTED_VALUE"""),"Normale")</f>
        <v>Normale</v>
      </c>
      <c r="I145" s="10" t="str">
        <f>IFERROR(__xludf.DUMMYFUNCTION("""COMPUTED_VALUE"""),"Oui")</f>
        <v>Oui</v>
      </c>
      <c r="J145" s="10" t="str">
        <f>IFERROR(__xludf.DUMMYFUNCTION("""COMPUTED_VALUE"""),"Aiguillon empoisonne - Toucher")</f>
        <v>Aiguillon empoisonne - Toucher</v>
      </c>
      <c r="K145" s="10" t="str">
        <f>IFERROR(__xludf.DUMMYFUNCTION("""COMPUTED_VALUE"""),"Attaque automatique")</f>
        <v>Attaque automatique</v>
      </c>
      <c r="L145" s="10" t="str">
        <f>IFERROR(__xludf.DUMMYFUNCTION("""COMPUTED_VALUE"""),"10 ±15")</f>
        <v>10 ±15</v>
      </c>
      <c r="M145" s="10" t="str">
        <f>IFERROR(__xludf.DUMMYFUNCTION("""COMPUTED_VALUE"""),"1 ±2")</f>
        <v>1 ±2</v>
      </c>
      <c r="N145" s="10" t="str">
        <f>IFERROR(__xludf.DUMMYFUNCTION("""COMPUTED_VALUE"""),"1 ±2")</f>
        <v>1 ±2</v>
      </c>
      <c r="O145" s="10" t="str">
        <f>IFERROR(__xludf.DUMMYFUNCTION("""COMPUTED_VALUE"""),"1 ±2")</f>
        <v>1 ±2</v>
      </c>
      <c r="P145" s="10" t="str">
        <f>IFERROR(__xludf.DUMMYFUNCTION("""COMPUTED_VALUE"""),"3 ±2")</f>
        <v>3 ±2</v>
      </c>
      <c r="Q145" s="10" t="str">
        <f>IFERROR(__xludf.DUMMYFUNCTION("""COMPUTED_VALUE"""),"1 ±1")</f>
        <v>1 ±1</v>
      </c>
      <c r="R145" s="10" t="str">
        <f>IFERROR(__xludf.DUMMYFUNCTION("""COMPUTED_VALUE"""),"1 ±2")</f>
        <v>1 ±2</v>
      </c>
      <c r="S145" s="10" t="str">
        <f>IFERROR(__xludf.DUMMYFUNCTION("""COMPUTED_VALUE"""),"")</f>
        <v/>
      </c>
      <c r="T145" s="10" t="str">
        <f>IFERROR(__xludf.DUMMYFUNCTION("""COMPUTED_VALUE"""),"100 ±200")</f>
        <v>100 ±200</v>
      </c>
      <c r="U145" s="10" t="str">
        <f>IFERROR(__xludf.DUMMYFUNCTION("""COMPUTED_VALUE"""),"100 ±200")</f>
        <v>100 ±200</v>
      </c>
      <c r="V145" s="10" t="str">
        <f>IFERROR(__xludf.DUMMYFUNCTION("""COMPUTED_VALUE"""),"10 ±2")</f>
        <v>10 ±2</v>
      </c>
      <c r="W145" s="10">
        <f>IFERROR(__xludf.DUMMYFUNCTION("""COMPUTED_VALUE"""),6.0)</f>
        <v>6</v>
      </c>
      <c r="X145" s="10" t="str">
        <f>IFERROR(__xludf.DUMMYFUNCTION("""COMPUTED_VALUE"""),"")</f>
        <v/>
      </c>
      <c r="Y145" s="10"/>
      <c r="Z145" s="10"/>
      <c r="AA145" s="10"/>
      <c r="AB145" s="10"/>
      <c r="AC145" s="10"/>
      <c r="AD145" s="10"/>
      <c r="AE145" s="10"/>
      <c r="AF145" s="10"/>
      <c r="AG145" s="10"/>
      <c r="AH145" s="10"/>
    </row>
    <row r="146">
      <c r="A146" s="10">
        <f>IFERROR(__xludf.DUMMYFUNCTION("""COMPUTED_VALUE"""),8.0)</f>
        <v>8</v>
      </c>
      <c r="B146" s="10" t="str">
        <f>IFERROR(__xludf.DUMMYFUNCTION("""COMPUTED_VALUE"""),"Plante Carnivore")</f>
        <v>Plante Carnivore</v>
      </c>
      <c r="C146" s="10" t="str">
        <f>IFERROR(__xludf.DUMMYFUNCTION("""COMPUTED_VALUE"""),"Monstre")</f>
        <v>Monstre</v>
      </c>
      <c r="D146" s="10">
        <f>IFERROR(__xludf.DUMMYFUNCTION("""COMPUTED_VALUE"""),4.0)</f>
        <v>4</v>
      </c>
      <c r="E146" s="10">
        <f>IFERROR(__xludf.DUMMYFUNCTION("""COMPUTED_VALUE"""),3.0)</f>
        <v>3</v>
      </c>
      <c r="F146" s="10" t="str">
        <f>IFERROR(__xludf.DUMMYFUNCTION("""COMPUTED_VALUE"""),"Non")</f>
        <v>Non</v>
      </c>
      <c r="G146" s="10" t="str">
        <f>IFERROR(__xludf.DUMMYFUNCTION("""COMPUTED_VALUE"""),"Oui")</f>
        <v>Oui</v>
      </c>
      <c r="H146" s="10" t="str">
        <f>IFERROR(__xludf.DUMMYFUNCTION("""COMPUTED_VALUE"""),"Lente")</f>
        <v>Lente</v>
      </c>
      <c r="I146" s="10" t="str">
        <f>IFERROR(__xludf.DUMMYFUNCTION("""COMPUTED_VALUE"""),"Oui")</f>
        <v>Oui</v>
      </c>
      <c r="J146" s="10" t="str">
        <f>IFERROR(__xludf.DUMMYFUNCTION("""COMPUTED_VALUE"""),"Attaque paralysante - Zone")</f>
        <v>Attaque paralysante - Zone</v>
      </c>
      <c r="K146" s="10" t="str">
        <f>IFERROR(__xludf.DUMMYFUNCTION("""COMPUTED_VALUE"""),"-")</f>
        <v>-</v>
      </c>
      <c r="L146" s="10" t="str">
        <f>IFERROR(__xludf.DUMMYFUNCTION("""COMPUTED_VALUE"""),"40 ±25")</f>
        <v>40 ±25</v>
      </c>
      <c r="M146" s="10" t="str">
        <f>IFERROR(__xludf.DUMMYFUNCTION("""COMPUTED_VALUE"""),"4 ±3")</f>
        <v>4 ±3</v>
      </c>
      <c r="N146" s="10" t="str">
        <f>IFERROR(__xludf.DUMMYFUNCTION("""COMPUTED_VALUE"""),"3 ±3")</f>
        <v>3 ±3</v>
      </c>
      <c r="O146" s="10" t="str">
        <f>IFERROR(__xludf.DUMMYFUNCTION("""COMPUTED_VALUE"""),"4 ±3")</f>
        <v>4 ±3</v>
      </c>
      <c r="P146" s="10" t="str">
        <f>IFERROR(__xludf.DUMMYFUNCTION("""COMPUTED_VALUE"""),"3 ±2")</f>
        <v>3 ±2</v>
      </c>
      <c r="Q146" s="10" t="str">
        <f>IFERROR(__xludf.DUMMYFUNCTION("""COMPUTED_VALUE"""),"2 ±1")</f>
        <v>2 ±1</v>
      </c>
      <c r="R146" s="10" t="str">
        <f>IFERROR(__xludf.DUMMYFUNCTION("""COMPUTED_VALUE"""),"4 ±3")</f>
        <v>4 ±3</v>
      </c>
      <c r="S146" s="10" t="str">
        <f>IFERROR(__xludf.DUMMYFUNCTION("""COMPUTED_VALUE"""),"")</f>
        <v/>
      </c>
      <c r="T146" s="10" t="str">
        <f>IFERROR(__xludf.DUMMYFUNCTION("""COMPUTED_VALUE"""),"300 ±300")</f>
        <v>300 ±300</v>
      </c>
      <c r="U146" s="10" t="str">
        <f>IFERROR(__xludf.DUMMYFUNCTION("""COMPUTED_VALUE"""),"500 ±300")</f>
        <v>500 ±300</v>
      </c>
      <c r="V146" s="10" t="str">
        <f>IFERROR(__xludf.DUMMYFUNCTION("""COMPUTED_VALUE"""),"12 ±3")</f>
        <v>12 ±3</v>
      </c>
      <c r="W146" s="10">
        <f>IFERROR(__xludf.DUMMYFUNCTION("""COMPUTED_VALUE"""),16.0)</f>
        <v>16</v>
      </c>
      <c r="X146" s="10" t="str">
        <f>IFERROR(__xludf.DUMMYFUNCTION("""COMPUTED_VALUE"""),"")</f>
        <v/>
      </c>
      <c r="Y146" s="10"/>
      <c r="Z146" s="10"/>
      <c r="AA146" s="10"/>
      <c r="AB146" s="10"/>
      <c r="AC146" s="10"/>
      <c r="AD146" s="10"/>
      <c r="AE146" s="10"/>
      <c r="AF146" s="10"/>
      <c r="AG146" s="10"/>
      <c r="AH146" s="10"/>
    </row>
    <row r="147">
      <c r="A147" s="10" t="str">
        <f>IFERROR(__xludf.DUMMYFUNCTION("""COMPUTED_VALUE"""),"")</f>
        <v/>
      </c>
      <c r="B147" s="10" t="str">
        <f>IFERROR(__xludf.DUMMYFUNCTION("""COMPUTED_VALUE"""),"Pseudo-dragon")</f>
        <v>Pseudo-dragon</v>
      </c>
      <c r="C147" s="10" t="str">
        <f>IFERROR(__xludf.DUMMYFUNCTION("""COMPUTED_VALUE"""),"Démon")</f>
        <v>Démon</v>
      </c>
      <c r="D147" s="10">
        <f>IFERROR(__xludf.DUMMYFUNCTION("""COMPUTED_VALUE"""),5.0)</f>
        <v>5</v>
      </c>
      <c r="E147" s="10">
        <f>IFERROR(__xludf.DUMMYFUNCTION("""COMPUTED_VALUE"""),1.0)</f>
        <v>1</v>
      </c>
      <c r="F147" s="10" t="str">
        <f>IFERROR(__xludf.DUMMYFUNCTION("""COMPUTED_VALUE"""),"Non")</f>
        <v>Non</v>
      </c>
      <c r="G147" s="10" t="str">
        <f>IFERROR(__xludf.DUMMYFUNCTION("""COMPUTED_VALUE"""),"Non")</f>
        <v>Non</v>
      </c>
      <c r="H147" s="10" t="str">
        <f>IFERROR(__xludf.DUMMYFUNCTION("""COMPUTED_VALUE"""),"Normale")</f>
        <v>Normale</v>
      </c>
      <c r="I147" s="10" t="str">
        <f>IFERROR(__xludf.DUMMYFUNCTION("""COMPUTED_VALUE"""),"Non")</f>
        <v>Non</v>
      </c>
      <c r="J147" s="10" t="str">
        <f>IFERROR(__xludf.DUMMYFUNCTION("""COMPUTED_VALUE"""),"Coup perforant - Toucher")</f>
        <v>Coup perforant - Toucher</v>
      </c>
      <c r="K147" s="10" t="str">
        <f>IFERROR(__xludf.DUMMYFUNCTION("""COMPUTED_VALUE"""),"Lévitation")</f>
        <v>Lévitation</v>
      </c>
      <c r="L147" s="10" t="str">
        <f>IFERROR(__xludf.DUMMYFUNCTION("""COMPUTED_VALUE"""),"55 ±30")</f>
        <v>55 ±30</v>
      </c>
      <c r="M147" s="10" t="str">
        <f>IFERROR(__xludf.DUMMYFUNCTION("""COMPUTED_VALUE"""),"20 ±3")</f>
        <v>20 ±3</v>
      </c>
      <c r="N147" s="10" t="str">
        <f>IFERROR(__xludf.DUMMYFUNCTION("""COMPUTED_VALUE"""),"1 ±2")</f>
        <v>1 ±2</v>
      </c>
      <c r="O147" s="10" t="str">
        <f>IFERROR(__xludf.DUMMYFUNCTION("""COMPUTED_VALUE"""),"2 ±2")</f>
        <v>2 ±2</v>
      </c>
      <c r="P147" s="10" t="str">
        <f>IFERROR(__xludf.DUMMYFUNCTION("""COMPUTED_VALUE"""),"4 ±2")</f>
        <v>4 ±2</v>
      </c>
      <c r="Q147" s="10" t="str">
        <f>IFERROR(__xludf.DUMMYFUNCTION("""COMPUTED_VALUE"""),"1 ±1")</f>
        <v>1 ±1</v>
      </c>
      <c r="R147" s="10" t="str">
        <f>IFERROR(__xludf.DUMMYFUNCTION("""COMPUTED_VALUE"""),"1 ±1")</f>
        <v>1 ±1</v>
      </c>
      <c r="S147" s="10" t="str">
        <f>IFERROR(__xludf.DUMMYFUNCTION("""COMPUTED_VALUE"""),"")</f>
        <v/>
      </c>
      <c r="T147" s="10" t="str">
        <f>IFERROR(__xludf.DUMMYFUNCTION("""COMPUTED_VALUE"""),"1000 ±300")</f>
        <v>1000 ±300</v>
      </c>
      <c r="U147" s="10" t="str">
        <f>IFERROR(__xludf.DUMMYFUNCTION("""COMPUTED_VALUE"""),"100 ±400")</f>
        <v>100 ±400</v>
      </c>
      <c r="V147" s="10" t="str">
        <f>IFERROR(__xludf.DUMMYFUNCTION("""COMPUTED_VALUE"""),"12 ±4")</f>
        <v>12 ±4</v>
      </c>
      <c r="W147" s="10">
        <f>IFERROR(__xludf.DUMMYFUNCTION("""COMPUTED_VALUE"""),61.0)</f>
        <v>61</v>
      </c>
      <c r="X147" s="10" t="str">
        <f>IFERROR(__xludf.DUMMYFUNCTION("""COMPUTED_VALUE"""),"")</f>
        <v/>
      </c>
      <c r="Y147" s="10"/>
      <c r="Z147" s="10"/>
      <c r="AA147" s="10"/>
      <c r="AB147" s="10"/>
      <c r="AC147" s="10"/>
      <c r="AD147" s="10"/>
      <c r="AE147" s="10"/>
      <c r="AF147" s="10"/>
      <c r="AG147" s="10"/>
      <c r="AH147" s="10"/>
    </row>
    <row r="148">
      <c r="A148" s="10" t="str">
        <f>IFERROR(__xludf.DUMMYFUNCTION("""COMPUTED_VALUE"""),"")</f>
        <v/>
      </c>
      <c r="B148" s="10" t="str">
        <f>IFERROR(__xludf.DUMMYFUNCTION("""COMPUTED_VALUE"""),"Raquettou")</f>
        <v>Raquettou</v>
      </c>
      <c r="C148" s="10" t="str">
        <f>IFERROR(__xludf.DUMMYFUNCTION("""COMPUTED_VALUE"""),"Humanoïde")</f>
        <v>Humanoïde</v>
      </c>
      <c r="D148" s="10" t="str">
        <f>IFERROR(__xludf.DUMMYFUNCTION("""COMPUTED_VALUE"""),"?")</f>
        <v>?</v>
      </c>
      <c r="E148" s="10" t="str">
        <f>IFERROR(__xludf.DUMMYFUNCTION("""COMPUTED_VALUE"""),"")</f>
        <v/>
      </c>
      <c r="F148" s="10" t="str">
        <f>IFERROR(__xludf.DUMMYFUNCTION("""COMPUTED_VALUE"""),"Non")</f>
        <v>Non</v>
      </c>
      <c r="G148" s="10" t="str">
        <f>IFERROR(__xludf.DUMMYFUNCTION("""COMPUTED_VALUE"""),"")</f>
        <v/>
      </c>
      <c r="H148" s="10" t="str">
        <f>IFERROR(__xludf.DUMMYFUNCTION("""COMPUTED_VALUE"""),"")</f>
        <v/>
      </c>
      <c r="I148" s="10" t="str">
        <f>IFERROR(__xludf.DUMMYFUNCTION("""COMPUTED_VALUE"""),"")</f>
        <v/>
      </c>
      <c r="J148" s="10" t="str">
        <f>IFERROR(__xludf.DUMMYFUNCTION("""COMPUTED_VALUE"""),"")</f>
        <v/>
      </c>
      <c r="K148" s="10" t="str">
        <f>IFERROR(__xludf.DUMMYFUNCTION("""COMPUTED_VALUE"""),"")</f>
        <v/>
      </c>
      <c r="L148" s="10" t="str">
        <f>IFERROR(__xludf.DUMMYFUNCTION("""COMPUTED_VALUE"""),"")</f>
        <v/>
      </c>
      <c r="M148" s="10" t="str">
        <f>IFERROR(__xludf.DUMMYFUNCTION("""COMPUTED_VALUE"""),"")</f>
        <v/>
      </c>
      <c r="N148" s="10" t="str">
        <f>IFERROR(__xludf.DUMMYFUNCTION("""COMPUTED_VALUE"""),"")</f>
        <v/>
      </c>
      <c r="O148" s="10" t="str">
        <f>IFERROR(__xludf.DUMMYFUNCTION("""COMPUTED_VALUE"""),"")</f>
        <v/>
      </c>
      <c r="P148" s="10" t="str">
        <f>IFERROR(__xludf.DUMMYFUNCTION("""COMPUTED_VALUE"""),"")</f>
        <v/>
      </c>
      <c r="Q148" s="10" t="str">
        <f>IFERROR(__xludf.DUMMYFUNCTION("""COMPUTED_VALUE"""),"")</f>
        <v/>
      </c>
      <c r="R148" s="10" t="str">
        <f>IFERROR(__xludf.DUMMYFUNCTION("""COMPUTED_VALUE"""),"")</f>
        <v/>
      </c>
      <c r="S148" s="10" t="str">
        <f>IFERROR(__xludf.DUMMYFUNCTION("""COMPUTED_VALUE"""),"")</f>
        <v/>
      </c>
      <c r="T148" s="10" t="str">
        <f>IFERROR(__xludf.DUMMYFUNCTION("""COMPUTED_VALUE"""),"")</f>
        <v/>
      </c>
      <c r="U148" s="10" t="str">
        <f>IFERROR(__xludf.DUMMYFUNCTION("""COMPUTED_VALUE"""),"")</f>
        <v/>
      </c>
      <c r="V148" s="10" t="str">
        <f>IFERROR(__xludf.DUMMYFUNCTION("""COMPUTED_VALUE"""),"")</f>
        <v/>
      </c>
      <c r="W148" s="10" t="str">
        <f>IFERROR(__xludf.DUMMYFUNCTION("""COMPUTED_VALUE"""),"")</f>
        <v/>
      </c>
      <c r="X148" s="10" t="str">
        <f>IFERROR(__xludf.DUMMYFUNCTION("""COMPUTED_VALUE"""),"")</f>
        <v/>
      </c>
      <c r="Y148" s="10"/>
      <c r="Z148" s="10"/>
      <c r="AA148" s="10"/>
      <c r="AB148" s="10"/>
      <c r="AC148" s="10"/>
      <c r="AD148" s="10"/>
      <c r="AE148" s="10"/>
      <c r="AF148" s="10"/>
      <c r="AG148" s="10"/>
      <c r="AH148" s="10"/>
    </row>
    <row r="149">
      <c r="A149" s="10">
        <f>IFERROR(__xludf.DUMMYFUNCTION("""COMPUTED_VALUE"""),9.0)</f>
        <v>9</v>
      </c>
      <c r="B149" s="10" t="str">
        <f>IFERROR(__xludf.DUMMYFUNCTION("""COMPUTED_VALUE"""),"Rat Geant")</f>
        <v>Rat Geant</v>
      </c>
      <c r="C149" s="10" t="str">
        <f>IFERROR(__xludf.DUMMYFUNCTION("""COMPUTED_VALUE"""),"Animal")</f>
        <v>Animal</v>
      </c>
      <c r="D149" s="10">
        <f>IFERROR(__xludf.DUMMYFUNCTION("""COMPUTED_VALUE"""),2.0)</f>
        <v>2</v>
      </c>
      <c r="E149" s="10">
        <f>IFERROR(__xludf.DUMMYFUNCTION("""COMPUTED_VALUE"""),1.0)</f>
        <v>1</v>
      </c>
      <c r="F149" s="10" t="str">
        <f>IFERROR(__xludf.DUMMYFUNCTION("""COMPUTED_VALUE"""),"Non")</f>
        <v>Non</v>
      </c>
      <c r="G149" s="10" t="str">
        <f>IFERROR(__xludf.DUMMYFUNCTION("""COMPUTED_VALUE"""),"Non")</f>
        <v>Non</v>
      </c>
      <c r="H149" s="10" t="str">
        <f>IFERROR(__xludf.DUMMYFUNCTION("""COMPUTED_VALUE"""),"Normale")</f>
        <v>Normale</v>
      </c>
      <c r="I149" s="10" t="str">
        <f>IFERROR(__xludf.DUMMYFUNCTION("""COMPUTED_VALUE"""),"Non")</f>
        <v>Non</v>
      </c>
      <c r="J149" s="10" t="str">
        <f>IFERROR(__xludf.DUMMYFUNCTION("""COMPUTED_VALUE"""),"-")</f>
        <v>-</v>
      </c>
      <c r="K149" s="10" t="str">
        <f>IFERROR(__xludf.DUMMYFUNCTION("""COMPUTED_VALUE"""),"-")</f>
        <v>-</v>
      </c>
      <c r="L149" s="10" t="str">
        <f>IFERROR(__xludf.DUMMYFUNCTION("""COMPUTED_VALUE"""),"20 ±20")</f>
        <v>20 ±20</v>
      </c>
      <c r="M149" s="10" t="str">
        <f>IFERROR(__xludf.DUMMYFUNCTION("""COMPUTED_VALUE"""),"2±2")</f>
        <v>2±2</v>
      </c>
      <c r="N149" s="10" t="str">
        <f>IFERROR(__xludf.DUMMYFUNCTION("""COMPUTED_VALUE"""),"4 ±3")</f>
        <v>4 ±3</v>
      </c>
      <c r="O149" s="10" t="str">
        <f>IFERROR(__xludf.DUMMYFUNCTION("""COMPUTED_VALUE"""),"2±2")</f>
        <v>2±2</v>
      </c>
      <c r="P149" s="10" t="str">
        <f>IFERROR(__xludf.DUMMYFUNCTION("""COMPUTED_VALUE"""),"2 ±2")</f>
        <v>2 ±2</v>
      </c>
      <c r="Q149" s="10" t="str">
        <f>IFERROR(__xludf.DUMMYFUNCTION("""COMPUTED_VALUE"""),"1 ±1")</f>
        <v>1 ±1</v>
      </c>
      <c r="R149" s="10" t="str">
        <f>IFERROR(__xludf.DUMMYFUNCTION("""COMPUTED_VALUE"""),"1 ±1")</f>
        <v>1 ±1</v>
      </c>
      <c r="S149" s="10" t="str">
        <f>IFERROR(__xludf.DUMMYFUNCTION("""COMPUTED_VALUE"""),"")</f>
        <v/>
      </c>
      <c r="T149" s="10" t="str">
        <f>IFERROR(__xludf.DUMMYFUNCTION("""COMPUTED_VALUE"""),"100 ±100")</f>
        <v>100 ±100</v>
      </c>
      <c r="U149" s="10" t="str">
        <f>IFERROR(__xludf.DUMMYFUNCTION("""COMPUTED_VALUE"""),"100 ±100")</f>
        <v>100 ±100</v>
      </c>
      <c r="V149" s="10" t="str">
        <f>IFERROR(__xludf.DUMMYFUNCTION("""COMPUTED_VALUE"""),"12 ±3")</f>
        <v>12 ±3</v>
      </c>
      <c r="W149" s="10">
        <f>IFERROR(__xludf.DUMMYFUNCTION("""COMPUTED_VALUE"""),58.0)</f>
        <v>58</v>
      </c>
      <c r="X149" s="10" t="str">
        <f>IFERROR(__xludf.DUMMYFUNCTION("""COMPUTED_VALUE"""),"")</f>
        <v/>
      </c>
      <c r="Y149" s="10"/>
      <c r="Z149" s="10"/>
      <c r="AA149" s="10"/>
      <c r="AB149" s="10"/>
      <c r="AC149" s="10"/>
      <c r="AD149" s="10"/>
      <c r="AE149" s="10"/>
      <c r="AF149" s="10"/>
      <c r="AG149" s="10"/>
      <c r="AH149" s="10"/>
    </row>
    <row r="150">
      <c r="A150" s="10">
        <f>IFERROR(__xludf.DUMMYFUNCTION("""COMPUTED_VALUE"""),115.0)</f>
        <v>115</v>
      </c>
      <c r="B150" s="10" t="str">
        <f>IFERROR(__xludf.DUMMYFUNCTION("""COMPUTED_VALUE"""),"Rat-Garou")</f>
        <v>Rat-Garou</v>
      </c>
      <c r="C150" s="10" t="str">
        <f>IFERROR(__xludf.DUMMYFUNCTION("""COMPUTED_VALUE"""),"Humanoïde")</f>
        <v>Humanoïde</v>
      </c>
      <c r="D150" s="10">
        <f>IFERROR(__xludf.DUMMYFUNCTION("""COMPUTED_VALUE"""),3.0)</f>
        <v>3</v>
      </c>
      <c r="E150" s="10">
        <f>IFERROR(__xludf.DUMMYFUNCTION("""COMPUTED_VALUE"""),1.0)</f>
        <v>1</v>
      </c>
      <c r="F150" s="10" t="str">
        <f>IFERROR(__xludf.DUMMYFUNCTION("""COMPUTED_VALUE"""),"")</f>
        <v/>
      </c>
      <c r="G150" s="10" t="str">
        <f>IFERROR(__xludf.DUMMYFUNCTION("""COMPUTED_VALUE"""),"Non")</f>
        <v>Non</v>
      </c>
      <c r="H150" s="10" t="str">
        <f>IFERROR(__xludf.DUMMYFUNCTION("""COMPUTED_VALUE"""),"Normale")</f>
        <v>Normale</v>
      </c>
      <c r="I150" s="10" t="str">
        <f>IFERROR(__xludf.DUMMYFUNCTION("""COMPUTED_VALUE"""),"Non")</f>
        <v>Non</v>
      </c>
      <c r="J150" s="10" t="str">
        <f>IFERROR(__xludf.DUMMYFUNCTION("""COMPUTED_VALUE"""),"Maladie - Toucher")</f>
        <v>Maladie - Toucher</v>
      </c>
      <c r="K150" s="10" t="str">
        <f>IFERROR(__xludf.DUMMYFUNCTION("""COMPUTED_VALUE"""),"-")</f>
        <v>-</v>
      </c>
      <c r="L150" s="10" t="str">
        <f>IFERROR(__xludf.DUMMYFUNCTION("""COMPUTED_VALUE"""),"35 ±25")</f>
        <v>35 ±25</v>
      </c>
      <c r="M150" s="10" t="str">
        <f>IFERROR(__xludf.DUMMYFUNCTION("""COMPUTED_VALUE"""),"3 ±3")</f>
        <v>3 ±3</v>
      </c>
      <c r="N150" s="10" t="str">
        <f>IFERROR(__xludf.DUMMYFUNCTION("""COMPUTED_VALUE"""),"3 ±3")</f>
        <v>3 ±3</v>
      </c>
      <c r="O150" s="10" t="str">
        <f>IFERROR(__xludf.DUMMYFUNCTION("""COMPUTED_VALUE"""),"2 ±3")</f>
        <v>2 ±3</v>
      </c>
      <c r="P150" s="10" t="str">
        <f>IFERROR(__xludf.DUMMYFUNCTION("""COMPUTED_VALUE"""),"3 ±3")</f>
        <v>3 ±3</v>
      </c>
      <c r="Q150" s="10" t="str">
        <f>IFERROR(__xludf.DUMMYFUNCTION("""COMPUTED_VALUE"""),"3 ±1")</f>
        <v>3 ±1</v>
      </c>
      <c r="R150" s="10" t="str">
        <f>IFERROR(__xludf.DUMMYFUNCTION("""COMPUTED_VALUE"""),"3 ±3")</f>
        <v>3 ±3</v>
      </c>
      <c r="S150" s="10" t="str">
        <f>IFERROR(__xludf.DUMMYFUNCTION("""COMPUTED_VALUE"""),"")</f>
        <v/>
      </c>
      <c r="T150" s="10" t="str">
        <f>IFERROR(__xludf.DUMMYFUNCTION("""COMPUTED_VALUE"""),"100 ±100")</f>
        <v>100 ±100</v>
      </c>
      <c r="U150" s="10" t="str">
        <f>IFERROR(__xludf.DUMMYFUNCTION("""COMPUTED_VALUE"""),"100 ±100")</f>
        <v>100 ±100</v>
      </c>
      <c r="V150" s="10" t="str">
        <f>IFERROR(__xludf.DUMMYFUNCTION("""COMPUTED_VALUE"""),"")</f>
        <v/>
      </c>
      <c r="W150" s="10">
        <f>IFERROR(__xludf.DUMMYFUNCTION("""COMPUTED_VALUE"""),13.0)</f>
        <v>13</v>
      </c>
      <c r="X150" s="10" t="str">
        <f>IFERROR(__xludf.DUMMYFUNCTION("""COMPUTED_VALUE"""),"")</f>
        <v/>
      </c>
      <c r="Y150" s="10"/>
      <c r="Z150" s="10"/>
      <c r="AA150" s="10"/>
      <c r="AB150" s="10"/>
      <c r="AC150" s="10"/>
      <c r="AD150" s="10"/>
      <c r="AE150" s="10"/>
      <c r="AF150" s="10"/>
      <c r="AG150" s="10"/>
      <c r="AH150" s="10"/>
    </row>
    <row r="151">
      <c r="A151" s="10">
        <f>IFERROR(__xludf.DUMMYFUNCTION("""COMPUTED_VALUE"""),41.0)</f>
        <v>41</v>
      </c>
      <c r="B151" s="10" t="str">
        <f>IFERROR(__xludf.DUMMYFUNCTION("""COMPUTED_VALUE"""),"Rocketeux")</f>
        <v>Rocketeux</v>
      </c>
      <c r="C151" s="10" t="str">
        <f>IFERROR(__xludf.DUMMYFUNCTION("""COMPUTED_VALUE"""),"Humanoïde")</f>
        <v>Humanoïde</v>
      </c>
      <c r="D151" s="10">
        <f>IFERROR(__xludf.DUMMYFUNCTION("""COMPUTED_VALUE"""),5.0)</f>
        <v>5</v>
      </c>
      <c r="E151" s="10">
        <f>IFERROR(__xludf.DUMMYFUNCTION("""COMPUTED_VALUE"""),1.0)</f>
        <v>1</v>
      </c>
      <c r="F151" s="10" t="str">
        <f>IFERROR(__xludf.DUMMYFUNCTION("""COMPUTED_VALUE"""),"Non")</f>
        <v>Non</v>
      </c>
      <c r="G151" s="10" t="str">
        <f>IFERROR(__xludf.DUMMYFUNCTION("""COMPUTED_VALUE"""),"Non")</f>
        <v>Non</v>
      </c>
      <c r="H151" s="10" t="str">
        <f>IFERROR(__xludf.DUMMYFUNCTION("""COMPUTED_VALUE"""),"Lente")</f>
        <v>Lente</v>
      </c>
      <c r="I151" s="10" t="str">
        <f>IFERROR(__xludf.DUMMYFUNCTION("""COMPUTED_VALUE"""),"Non")</f>
        <v>Non</v>
      </c>
      <c r="J151" s="10" t="str">
        <f>IFERROR(__xludf.DUMMYFUNCTION("""COMPUTED_VALUE"""),"-")</f>
        <v>-</v>
      </c>
      <c r="K151" s="10" t="str">
        <f>IFERROR(__xludf.DUMMYFUNCTION("""COMPUTED_VALUE"""),"-")</f>
        <v>-</v>
      </c>
      <c r="L151" s="10" t="str">
        <f>IFERROR(__xludf.DUMMYFUNCTION("""COMPUTED_VALUE"""),"60 ±30")</f>
        <v>60 ±30</v>
      </c>
      <c r="M151" s="10" t="str">
        <f>IFERROR(__xludf.DUMMYFUNCTION("""COMPUTED_VALUE"""),"3 ±2")</f>
        <v>3 ±2</v>
      </c>
      <c r="N151" s="10" t="str">
        <f>IFERROR(__xludf.DUMMYFUNCTION("""COMPUTED_VALUE"""),"3 ±2")</f>
        <v>3 ±2</v>
      </c>
      <c r="O151" s="10" t="str">
        <f>IFERROR(__xludf.DUMMYFUNCTION("""COMPUTED_VALUE"""),"6 ±3")</f>
        <v>6 ±3</v>
      </c>
      <c r="P151" s="10" t="str">
        <f>IFERROR(__xludf.DUMMYFUNCTION("""COMPUTED_VALUE"""),"3 ±3")</f>
        <v>3 ±3</v>
      </c>
      <c r="Q151" s="10" t="str">
        <f>IFERROR(__xludf.DUMMYFUNCTION("""COMPUTED_VALUE"""),"1 ±1")</f>
        <v>1 ±1</v>
      </c>
      <c r="R151" s="10" t="str">
        <f>IFERROR(__xludf.DUMMYFUNCTION("""COMPUTED_VALUE"""),"18 ±4")</f>
        <v>18 ±4</v>
      </c>
      <c r="S151" s="10" t="str">
        <f>IFERROR(__xludf.DUMMYFUNCTION("""COMPUTED_VALUE"""),"")</f>
        <v/>
      </c>
      <c r="T151" s="10" t="str">
        <f>IFERROR(__xludf.DUMMYFUNCTION("""COMPUTED_VALUE"""),"200 ±300")</f>
        <v>200 ±300</v>
      </c>
      <c r="U151" s="10" t="str">
        <f>IFERROR(__xludf.DUMMYFUNCTION("""COMPUTED_VALUE"""),"100 ±200")</f>
        <v>100 ±200</v>
      </c>
      <c r="V151" s="10" t="str">
        <f>IFERROR(__xludf.DUMMYFUNCTION("""COMPUTED_VALUE"""),"13 ±3")</f>
        <v>13 ±3</v>
      </c>
      <c r="W151" s="10">
        <f>IFERROR(__xludf.DUMMYFUNCTION("""COMPUTED_VALUE"""),25.0)</f>
        <v>25</v>
      </c>
      <c r="X151" s="10" t="str">
        <f>IFERROR(__xludf.DUMMYFUNCTION("""COMPUTED_VALUE"""),"")</f>
        <v/>
      </c>
      <c r="Y151" s="10"/>
      <c r="Z151" s="10"/>
      <c r="AA151" s="10"/>
      <c r="AB151" s="10"/>
      <c r="AC151" s="10"/>
      <c r="AD151" s="10"/>
      <c r="AE151" s="10"/>
      <c r="AF151" s="10"/>
      <c r="AG151" s="10"/>
      <c r="AH151" s="10"/>
    </row>
    <row r="152">
      <c r="A152" s="10" t="str">
        <f>IFERROR(__xludf.DUMMYFUNCTION("""COMPUTED_VALUE"""),"*Id*")</f>
        <v>*Id*</v>
      </c>
      <c r="B152" s="10" t="str">
        <f>IFERROR(__xludf.DUMMYFUNCTION("""COMPUTED_VALUE"""),"*Nom*")</f>
        <v>*Nom*</v>
      </c>
      <c r="C152" s="10" t="str">
        <f>IFERROR(__xludf.DUMMYFUNCTION("""COMPUTED_VALUE"""),"*Famille*")</f>
        <v>*Famille*</v>
      </c>
      <c r="D152" s="10" t="str">
        <f>IFERROR(__xludf.DUMMYFUNCTION("""COMPUTED_VALUE"""),"*Niv*")</f>
        <v>*Niv*</v>
      </c>
      <c r="E152" s="10" t="str">
        <f>IFERROR(__xludf.DUMMYFUNCTION("""COMPUTED_VALUE"""),"*Nb att*")</f>
        <v>*Nb att*</v>
      </c>
      <c r="F152" s="10" t="str">
        <f>IFERROR(__xludf.DUMMYFUNCTION("""COMPUTED_VALUE"""),"*Att mag*")</f>
        <v>*Att mag*</v>
      </c>
      <c r="G152" s="10" t="str">
        <f>IFERROR(__xludf.DUMMYFUNCTION("""COMPUTED_VALUE"""),"*Att dist*")</f>
        <v>*Att dist*</v>
      </c>
      <c r="H152" s="10" t="str">
        <f>IFERROR(__xludf.DUMMYFUNCTION("""COMPUTED_VALUE"""),"*Vit*")</f>
        <v>*Vit*</v>
      </c>
      <c r="I152" s="10" t="str">
        <f>IFERROR(__xludf.DUMMYFUNCTION("""COMPUTED_VALUE"""),"*VlC*")</f>
        <v>*VlC*</v>
      </c>
      <c r="J152" s="10" t="str">
        <f>IFERROR(__xludf.DUMMYFUNCTION("""COMPUTED_VALUE"""),"*Pouvoir 1*")</f>
        <v>*Pouvoir 1*</v>
      </c>
      <c r="K152" s="10" t="str">
        <f>IFERROR(__xludf.DUMMYFUNCTION("""COMPUTED_VALUE"""),"*Pouvoir 2*")</f>
        <v>*Pouvoir 2*</v>
      </c>
      <c r="L152" s="10" t="str">
        <f>IFERROR(__xludf.DUMMYFUNCTION("""COMPUTED_VALUE"""),"*PV*")</f>
        <v>*PV*</v>
      </c>
      <c r="M152" s="10" t="str">
        <f>IFERROR(__xludf.DUMMYFUNCTION("""COMPUTED_VALUE"""),"*Att*")</f>
        <v>*Att*</v>
      </c>
      <c r="N152" s="10" t="str">
        <f>IFERROR(__xludf.DUMMYFUNCTION("""COMPUTED_VALUE"""),"*Esq*")</f>
        <v>*Esq*</v>
      </c>
      <c r="O152" s="10" t="str">
        <f>IFERROR(__xludf.DUMMYFUNCTION("""COMPUTED_VALUE"""),"*Dégât*")</f>
        <v>*Dégât*</v>
      </c>
      <c r="P152" s="10" t="str">
        <f>IFERROR(__xludf.DUMMYFUNCTION("""COMPUTED_VALUE"""),"*Vue*")</f>
        <v>*Vue*</v>
      </c>
      <c r="Q152" s="10" t="str">
        <f>IFERROR(__xludf.DUMMYFUNCTION("""COMPUTED_VALUE"""),"*Régen*")</f>
        <v>*Régen*</v>
      </c>
      <c r="R152" s="10" t="str">
        <f>IFERROR(__xludf.DUMMYFUNCTION("""COMPUTED_VALUE"""),"*Arm phy*")</f>
        <v>*Arm phy*</v>
      </c>
      <c r="S152" s="10" t="str">
        <f>IFERROR(__xludf.DUMMYFUNCTION("""COMPUTED_VALUE"""),"*Arm mag*")</f>
        <v>*Arm mag*</v>
      </c>
      <c r="T152" s="10" t="str">
        <f>IFERROR(__xludf.DUMMYFUNCTION("""COMPUTED_VALUE"""),"*MM*")</f>
        <v>*MM*</v>
      </c>
      <c r="U152" s="10" t="str">
        <f>IFERROR(__xludf.DUMMYFUNCTION("""COMPUTED_VALUE"""),"*RM*")</f>
        <v>*RM*</v>
      </c>
      <c r="V152" s="10" t="str">
        <f>IFERROR(__xludf.DUMMYFUNCTION("""COMPUTED_VALUE"""),"*DLA*")</f>
        <v>*DLA*</v>
      </c>
      <c r="W152" s="10" t="str">
        <f>IFERROR(__xludf.DUMMYFUNCTION("""COMPUTED_VALUE"""),"*Echant*")</f>
        <v>*Echant*</v>
      </c>
      <c r="X152" s="10" t="str">
        <f>IFERROR(__xludf.DUMMYFUNCTION("""COMPUTED_VALUE"""),"")</f>
        <v/>
      </c>
      <c r="Y152" s="10"/>
      <c r="Z152" s="10"/>
      <c r="AA152" s="10"/>
      <c r="AB152" s="10"/>
      <c r="AC152" s="10"/>
      <c r="AD152" s="10"/>
      <c r="AE152" s="10"/>
      <c r="AF152" s="10"/>
      <c r="AG152" s="10"/>
      <c r="AH152" s="10"/>
    </row>
    <row r="153">
      <c r="A153" s="10">
        <f>IFERROR(__xludf.DUMMYFUNCTION("""COMPUTED_VALUE"""),130.0)</f>
        <v>130</v>
      </c>
      <c r="B153" s="10" t="str">
        <f>IFERROR(__xludf.DUMMYFUNCTION("""COMPUTED_VALUE"""),"Sagouin")</f>
        <v>Sagouin</v>
      </c>
      <c r="C153" s="10" t="str">
        <f>IFERROR(__xludf.DUMMYFUNCTION("""COMPUTED_VALUE"""),"Animal")</f>
        <v>Animal</v>
      </c>
      <c r="D153" s="10">
        <f>IFERROR(__xludf.DUMMYFUNCTION("""COMPUTED_VALUE"""),3.0)</f>
        <v>3</v>
      </c>
      <c r="E153" s="10">
        <f>IFERROR(__xludf.DUMMYFUNCTION("""COMPUTED_VALUE"""),1.0)</f>
        <v>1</v>
      </c>
      <c r="F153" s="10" t="str">
        <f>IFERROR(__xludf.DUMMYFUNCTION("""COMPUTED_VALUE"""),"")</f>
        <v/>
      </c>
      <c r="G153" s="10" t="str">
        <f>IFERROR(__xludf.DUMMYFUNCTION("""COMPUTED_VALUE"""),"Non")</f>
        <v>Non</v>
      </c>
      <c r="H153" s="10" t="str">
        <f>IFERROR(__xludf.DUMMYFUNCTION("""COMPUTED_VALUE"""),"Normale")</f>
        <v>Normale</v>
      </c>
      <c r="I153" s="10" t="str">
        <f>IFERROR(__xludf.DUMMYFUNCTION("""COMPUTED_VALUE"""),"Non")</f>
        <v>Non</v>
      </c>
      <c r="J153" s="10" t="str">
        <f>IFERROR(__xludf.DUMMYFUNCTION("""COMPUTED_VALUE"""),"-")</f>
        <v>-</v>
      </c>
      <c r="K153" s="10" t="str">
        <f>IFERROR(__xludf.DUMMYFUNCTION("""COMPUTED_VALUE"""),"-")</f>
        <v>-</v>
      </c>
      <c r="L153" s="10" t="str">
        <f>IFERROR(__xludf.DUMMYFUNCTION("""COMPUTED_VALUE"""),"35 ±25")</f>
        <v>35 ±25</v>
      </c>
      <c r="M153" s="10" t="str">
        <f>IFERROR(__xludf.DUMMYFUNCTION("""COMPUTED_VALUE"""),"5 ±3")</f>
        <v>5 ±3</v>
      </c>
      <c r="N153" s="10" t="str">
        <f>IFERROR(__xludf.DUMMYFUNCTION("""COMPUTED_VALUE"""),"5 ±3")</f>
        <v>5 ±3</v>
      </c>
      <c r="O153" s="10" t="str">
        <f>IFERROR(__xludf.DUMMYFUNCTION("""COMPUTED_VALUE"""),"3 ±2")</f>
        <v>3 ±2</v>
      </c>
      <c r="P153" s="10" t="str">
        <f>IFERROR(__xludf.DUMMYFUNCTION("""COMPUTED_VALUE"""),"3 ±2")</f>
        <v>3 ±2</v>
      </c>
      <c r="Q153" s="10" t="str">
        <f>IFERROR(__xludf.DUMMYFUNCTION("""COMPUTED_VALUE"""),"1 ±1")</f>
        <v>1 ±1</v>
      </c>
      <c r="R153" s="10" t="str">
        <f>IFERROR(__xludf.DUMMYFUNCTION("""COMPUTED_VALUE"""),"3 ±2")</f>
        <v>3 ±2</v>
      </c>
      <c r="S153" s="10" t="str">
        <f>IFERROR(__xludf.DUMMYFUNCTION("""COMPUTED_VALUE"""),"")</f>
        <v/>
      </c>
      <c r="T153" s="10" t="str">
        <f>IFERROR(__xludf.DUMMYFUNCTION("""COMPUTED_VALUE"""),"100 ±100")</f>
        <v>100 ±100</v>
      </c>
      <c r="U153" s="10" t="str">
        <f>IFERROR(__xludf.DUMMYFUNCTION("""COMPUTED_VALUE"""),"200 ±200")</f>
        <v>200 ±200</v>
      </c>
      <c r="V153" s="10" t="str">
        <f>IFERROR(__xludf.DUMMYFUNCTION("""COMPUTED_VALUE"""),"12 ±3")</f>
        <v>12 ±3</v>
      </c>
      <c r="W153" s="10">
        <f>IFERROR(__xludf.DUMMYFUNCTION("""COMPUTED_VALUE"""),23.0)</f>
        <v>23</v>
      </c>
      <c r="X153" s="10" t="str">
        <f>IFERROR(__xludf.DUMMYFUNCTION("""COMPUTED_VALUE"""),"")</f>
        <v/>
      </c>
      <c r="Y153" s="10"/>
      <c r="Z153" s="10"/>
      <c r="AA153" s="10"/>
      <c r="AB153" s="10"/>
      <c r="AC153" s="10"/>
      <c r="AD153" s="10"/>
      <c r="AE153" s="10"/>
      <c r="AF153" s="10"/>
      <c r="AG153" s="10"/>
      <c r="AH153" s="10"/>
    </row>
    <row r="154">
      <c r="A154" s="10">
        <f>IFERROR(__xludf.DUMMYFUNCTION("""COMPUTED_VALUE"""),12.0)</f>
        <v>12</v>
      </c>
      <c r="B154" s="10" t="str">
        <f>IFERROR(__xludf.DUMMYFUNCTION("""COMPUTED_VALUE"""),"Scarabee Geant")</f>
        <v>Scarabee Geant</v>
      </c>
      <c r="C154" s="10" t="str">
        <f>IFERROR(__xludf.DUMMYFUNCTION("""COMPUTED_VALUE"""),"Insecte")</f>
        <v>Insecte</v>
      </c>
      <c r="D154" s="10">
        <f>IFERROR(__xludf.DUMMYFUNCTION("""COMPUTED_VALUE"""),4.0)</f>
        <v>4</v>
      </c>
      <c r="E154" s="10">
        <f>IFERROR(__xludf.DUMMYFUNCTION("""COMPUTED_VALUE"""),1.0)</f>
        <v>1</v>
      </c>
      <c r="F154" s="10" t="str">
        <f>IFERROR(__xludf.DUMMYFUNCTION("""COMPUTED_VALUE"""),"")</f>
        <v/>
      </c>
      <c r="G154" s="10" t="str">
        <f>IFERROR(__xludf.DUMMYFUNCTION("""COMPUTED_VALUE"""),"Non")</f>
        <v>Non</v>
      </c>
      <c r="H154" s="10" t="str">
        <f>IFERROR(__xludf.DUMMYFUNCTION("""COMPUTED_VALUE"""),"Normale")</f>
        <v>Normale</v>
      </c>
      <c r="I154" s="10" t="str">
        <f>IFERROR(__xludf.DUMMYFUNCTION("""COMPUTED_VALUE"""),"Non")</f>
        <v>Non</v>
      </c>
      <c r="J154" s="10" t="str">
        <f>IFERROR(__xludf.DUMMYFUNCTION("""COMPUTED_VALUE"""),"Acide - Auto")</f>
        <v>Acide - Auto</v>
      </c>
      <c r="K154" s="10" t="str">
        <f>IFERROR(__xludf.DUMMYFUNCTION("""COMPUTED_VALUE"""),"-")</f>
        <v>-</v>
      </c>
      <c r="L154" s="10" t="str">
        <f>IFERROR(__xludf.DUMMYFUNCTION("""COMPUTED_VALUE"""),"85 ±35")</f>
        <v>85 ±35</v>
      </c>
      <c r="M154" s="10" t="str">
        <f>IFERROR(__xludf.DUMMYFUNCTION("""COMPUTED_VALUE"""),"3 ±2")</f>
        <v>3 ±2</v>
      </c>
      <c r="N154" s="10" t="str">
        <f>IFERROR(__xludf.DUMMYFUNCTION("""COMPUTED_VALUE"""),"3 ±2")</f>
        <v>3 ±2</v>
      </c>
      <c r="O154" s="10" t="str">
        <f>IFERROR(__xludf.DUMMYFUNCTION("""COMPUTED_VALUE"""),"4 ±2")</f>
        <v>4 ±2</v>
      </c>
      <c r="P154" s="10" t="str">
        <f>IFERROR(__xludf.DUMMYFUNCTION("""COMPUTED_VALUE"""),"2 ±2")</f>
        <v>2 ±2</v>
      </c>
      <c r="Q154" s="10" t="str">
        <f>IFERROR(__xludf.DUMMYFUNCTION("""COMPUTED_VALUE"""),"2 ±1")</f>
        <v>2 ±1</v>
      </c>
      <c r="R154" s="10" t="str">
        <f>IFERROR(__xludf.DUMMYFUNCTION("""COMPUTED_VALUE"""),"6 ±3")</f>
        <v>6 ±3</v>
      </c>
      <c r="S154" s="10" t="str">
        <f>IFERROR(__xludf.DUMMYFUNCTION("""COMPUTED_VALUE"""),"")</f>
        <v/>
      </c>
      <c r="T154" s="10" t="str">
        <f>IFERROR(__xludf.DUMMYFUNCTION("""COMPUTED_VALUE"""),"200 ±200")</f>
        <v>200 ±200</v>
      </c>
      <c r="U154" s="10" t="str">
        <f>IFERROR(__xludf.DUMMYFUNCTION("""COMPUTED_VALUE"""),"100 ±")</f>
        <v>100 ±</v>
      </c>
      <c r="V154" s="10" t="str">
        <f>IFERROR(__xludf.DUMMYFUNCTION("""COMPUTED_VALUE"""),"13 ±3")</f>
        <v>13 ±3</v>
      </c>
      <c r="W154" s="10">
        <f>IFERROR(__xludf.DUMMYFUNCTION("""COMPUTED_VALUE"""),18.0)</f>
        <v>18</v>
      </c>
      <c r="X154" s="10" t="str">
        <f>IFERROR(__xludf.DUMMYFUNCTION("""COMPUTED_VALUE"""),"")</f>
        <v/>
      </c>
      <c r="Y154" s="10"/>
      <c r="Z154" s="10"/>
      <c r="AA154" s="10"/>
      <c r="AB154" s="10"/>
      <c r="AC154" s="10"/>
      <c r="AD154" s="10"/>
      <c r="AE154" s="10"/>
      <c r="AF154" s="10"/>
      <c r="AG154" s="10"/>
      <c r="AH154" s="10"/>
    </row>
    <row r="155">
      <c r="A155" s="10">
        <f>IFERROR(__xludf.DUMMYFUNCTION("""COMPUTED_VALUE"""),62.0)</f>
        <v>62</v>
      </c>
      <c r="B155" s="10" t="str">
        <f>IFERROR(__xludf.DUMMYFUNCTION("""COMPUTED_VALUE"""),"Scorpion Geant")</f>
        <v>Scorpion Geant</v>
      </c>
      <c r="C155" s="10" t="str">
        <f>IFERROR(__xludf.DUMMYFUNCTION("""COMPUTED_VALUE"""),"Insecte")</f>
        <v>Insecte</v>
      </c>
      <c r="D155" s="10">
        <f>IFERROR(__xludf.DUMMYFUNCTION("""COMPUTED_VALUE"""),10.0)</f>
        <v>10</v>
      </c>
      <c r="E155" s="10">
        <f>IFERROR(__xludf.DUMMYFUNCTION("""COMPUTED_VALUE"""),1.0)</f>
        <v>1</v>
      </c>
      <c r="F155" s="10" t="str">
        <f>IFERROR(__xludf.DUMMYFUNCTION("""COMPUTED_VALUE"""),"Non")</f>
        <v>Non</v>
      </c>
      <c r="G155" s="10" t="str">
        <f>IFERROR(__xludf.DUMMYFUNCTION("""COMPUTED_VALUE"""),"Non")</f>
        <v>Non</v>
      </c>
      <c r="H155" s="10" t="str">
        <f>IFERROR(__xludf.DUMMYFUNCTION("""COMPUTED_VALUE"""),"Normale")</f>
        <v>Normale</v>
      </c>
      <c r="I155" s="10" t="str">
        <f>IFERROR(__xludf.DUMMYFUNCTION("""COMPUTED_VALUE"""),"Non")</f>
        <v>Non</v>
      </c>
      <c r="J155" s="10" t="str">
        <f>IFERROR(__xludf.DUMMYFUNCTION("""COMPUTED_VALUE"""),"Venin - Toucher")</f>
        <v>Venin - Toucher</v>
      </c>
      <c r="K155" s="10" t="str">
        <f>IFERROR(__xludf.DUMMYFUNCTION("""COMPUTED_VALUE"""),"-")</f>
        <v>-</v>
      </c>
      <c r="L155" s="10" t="str">
        <f>IFERROR(__xludf.DUMMYFUNCTION("""COMPUTED_VALUE"""),"80 ±30")</f>
        <v>80 ±30</v>
      </c>
      <c r="M155" s="10" t="str">
        <f>IFERROR(__xludf.DUMMYFUNCTION("""COMPUTED_VALUE"""),"7 ±3")</f>
        <v>7 ±3</v>
      </c>
      <c r="N155" s="10" t="str">
        <f>IFERROR(__xludf.DUMMYFUNCTION("""COMPUTED_VALUE"""),"5 ±3")</f>
        <v>5 ±3</v>
      </c>
      <c r="O155" s="10" t="str">
        <f>IFERROR(__xludf.DUMMYFUNCTION("""COMPUTED_VALUE"""),"8 ±3")</f>
        <v>8 ±3</v>
      </c>
      <c r="P155" s="10" t="str">
        <f>IFERROR(__xludf.DUMMYFUNCTION("""COMPUTED_VALUE"""),"3 ±2")</f>
        <v>3 ±2</v>
      </c>
      <c r="Q155" s="10" t="str">
        <f>IFERROR(__xludf.DUMMYFUNCTION("""COMPUTED_VALUE"""),"3 ±1")</f>
        <v>3 ±1</v>
      </c>
      <c r="R155" s="10" t="str">
        <f>IFERROR(__xludf.DUMMYFUNCTION("""COMPUTED_VALUE"""),"10 ±3")</f>
        <v>10 ±3</v>
      </c>
      <c r="S155" s="10" t="str">
        <f>IFERROR(__xludf.DUMMYFUNCTION("""COMPUTED_VALUE"""),"")</f>
        <v/>
      </c>
      <c r="T155" s="10" t="str">
        <f>IFERROR(__xludf.DUMMYFUNCTION("""COMPUTED_VALUE"""),"200 ±300")</f>
        <v>200 ±300</v>
      </c>
      <c r="U155" s="10" t="str">
        <f>IFERROR(__xludf.DUMMYFUNCTION("""COMPUTED_VALUE"""),"100 ±200")</f>
        <v>100 ±200</v>
      </c>
      <c r="V155" s="10" t="str">
        <f>IFERROR(__xludf.DUMMYFUNCTION("""COMPUTED_VALUE"""),"13 ±3")</f>
        <v>13 ±3</v>
      </c>
      <c r="W155" s="10">
        <f>IFERROR(__xludf.DUMMYFUNCTION("""COMPUTED_VALUE"""),23.0)</f>
        <v>23</v>
      </c>
      <c r="X155" s="10" t="str">
        <f>IFERROR(__xludf.DUMMYFUNCTION("""COMPUTED_VALUE"""),"")</f>
        <v/>
      </c>
      <c r="Y155" s="10"/>
      <c r="Z155" s="10"/>
      <c r="AA155" s="10"/>
      <c r="AB155" s="10"/>
      <c r="AC155" s="10"/>
      <c r="AD155" s="10"/>
      <c r="AE155" s="10"/>
      <c r="AF155" s="10"/>
      <c r="AG155" s="10"/>
      <c r="AH155" s="10"/>
    </row>
    <row r="156">
      <c r="A156" s="10">
        <f>IFERROR(__xludf.DUMMYFUNCTION("""COMPUTED_VALUE"""),48.0)</f>
        <v>48</v>
      </c>
      <c r="B156" s="10" t="str">
        <f>IFERROR(__xludf.DUMMYFUNCTION("""COMPUTED_VALUE"""),"Shai")</f>
        <v>Shai</v>
      </c>
      <c r="C156" s="10" t="str">
        <f>IFERROR(__xludf.DUMMYFUNCTION("""COMPUTED_VALUE"""),"Démon")</f>
        <v>Démon</v>
      </c>
      <c r="D156" s="10">
        <f>IFERROR(__xludf.DUMMYFUNCTION("""COMPUTED_VALUE"""),28.0)</f>
        <v>28</v>
      </c>
      <c r="E156" s="10">
        <f>IFERROR(__xludf.DUMMYFUNCTION("""COMPUTED_VALUE"""),3.0)</f>
        <v>3</v>
      </c>
      <c r="F156" s="10" t="str">
        <f>IFERROR(__xludf.DUMMYFUNCTION("""COMPUTED_VALUE"""),"Non")</f>
        <v>Non</v>
      </c>
      <c r="G156" s="10" t="str">
        <f>IFERROR(__xludf.DUMMYFUNCTION("""COMPUTED_VALUE"""),"Non")</f>
        <v>Non</v>
      </c>
      <c r="H156" s="10" t="str">
        <f>IFERROR(__xludf.DUMMYFUNCTION("""COMPUTED_VALUE"""),"Rapide")</f>
        <v>Rapide</v>
      </c>
      <c r="I156" s="10" t="str">
        <f>IFERROR(__xludf.DUMMYFUNCTION("""COMPUTED_VALUE"""),"Oui")</f>
        <v>Oui</v>
      </c>
      <c r="J156" s="10" t="str">
        <f>IFERROR(__xludf.DUMMYFUNCTION("""COMPUTED_VALUE"""),"Aura de feu - Zone")</f>
        <v>Aura de feu - Zone</v>
      </c>
      <c r="K156" s="10" t="str">
        <f>IFERROR(__xludf.DUMMYFUNCTION("""COMPUTED_VALUE"""),"-")</f>
        <v>-</v>
      </c>
      <c r="L156" s="10" t="str">
        <f>IFERROR(__xludf.DUMMYFUNCTION("""COMPUTED_VALUE"""),"60 ±30")</f>
        <v>60 ±30</v>
      </c>
      <c r="M156" s="10" t="str">
        <f>IFERROR(__xludf.DUMMYFUNCTION("""COMPUTED_VALUE"""),"8 ±3")</f>
        <v>8 ±3</v>
      </c>
      <c r="N156" s="10" t="str">
        <f>IFERROR(__xludf.DUMMYFUNCTION("""COMPUTED_VALUE"""),"7 ±3")</f>
        <v>7 ±3</v>
      </c>
      <c r="O156" s="10" t="str">
        <f>IFERROR(__xludf.DUMMYFUNCTION("""COMPUTED_VALUE"""),"4 ±3")</f>
        <v>4 ±3</v>
      </c>
      <c r="P156" s="10" t="str">
        <f>IFERROR(__xludf.DUMMYFUNCTION("""COMPUTED_VALUE"""),"5 ±3")</f>
        <v>5 ±3</v>
      </c>
      <c r="Q156" s="10" t="str">
        <f>IFERROR(__xludf.DUMMYFUNCTION("""COMPUTED_VALUE"""),"3 ±1")</f>
        <v>3 ±1</v>
      </c>
      <c r="R156" s="10" t="str">
        <f>IFERROR(__xludf.DUMMYFUNCTION("""COMPUTED_VALUE"""),"4 ±3")</f>
        <v>4 ±3</v>
      </c>
      <c r="S156" s="10" t="str">
        <f>IFERROR(__xludf.DUMMYFUNCTION("""COMPUTED_VALUE"""),"")</f>
        <v/>
      </c>
      <c r="T156" s="10" t="str">
        <f>IFERROR(__xludf.DUMMYFUNCTION("""COMPUTED_VALUE"""),"500 ±300")</f>
        <v>500 ±300</v>
      </c>
      <c r="U156" s="10" t="str">
        <f>IFERROR(__xludf.DUMMYFUNCTION("""COMPUTED_VALUE"""),"200 ±200")</f>
        <v>200 ±200</v>
      </c>
      <c r="V156" s="10" t="str">
        <f>IFERROR(__xludf.DUMMYFUNCTION("""COMPUTED_VALUE"""),"5 ±2")</f>
        <v>5 ±2</v>
      </c>
      <c r="W156" s="10">
        <f>IFERROR(__xludf.DUMMYFUNCTION("""COMPUTED_VALUE"""),125.0)</f>
        <v>125</v>
      </c>
      <c r="X156" s="10" t="str">
        <f>IFERROR(__xludf.DUMMYFUNCTION("""COMPUTED_VALUE"""),"")</f>
        <v/>
      </c>
      <c r="Y156" s="10"/>
      <c r="Z156" s="10"/>
      <c r="AA156" s="10"/>
      <c r="AB156" s="10"/>
      <c r="AC156" s="10"/>
      <c r="AD156" s="10"/>
      <c r="AE156" s="10"/>
      <c r="AF156" s="10"/>
      <c r="AG156" s="10"/>
      <c r="AH156" s="10"/>
    </row>
    <row r="157">
      <c r="A157" s="10">
        <f>IFERROR(__xludf.DUMMYFUNCTION("""COMPUTED_VALUE"""),133.0)</f>
        <v>133</v>
      </c>
      <c r="B157" s="10" t="str">
        <f>IFERROR(__xludf.DUMMYFUNCTION("""COMPUTED_VALUE"""),"Slaad")</f>
        <v>Slaad</v>
      </c>
      <c r="C157" s="10" t="str">
        <f>IFERROR(__xludf.DUMMYFUNCTION("""COMPUTED_VALUE"""),"Monstre")</f>
        <v>Monstre</v>
      </c>
      <c r="D157" s="10">
        <f>IFERROR(__xludf.DUMMYFUNCTION("""COMPUTED_VALUE"""),5.0)</f>
        <v>5</v>
      </c>
      <c r="E157" s="10">
        <f>IFERROR(__xludf.DUMMYFUNCTION("""COMPUTED_VALUE"""),1.0)</f>
        <v>1</v>
      </c>
      <c r="F157" s="10" t="str">
        <f>IFERROR(__xludf.DUMMYFUNCTION("""COMPUTED_VALUE"""),"")</f>
        <v/>
      </c>
      <c r="G157" s="10" t="str">
        <f>IFERROR(__xludf.DUMMYFUNCTION("""COMPUTED_VALUE"""),"Non")</f>
        <v>Non</v>
      </c>
      <c r="H157" s="10" t="str">
        <f>IFERROR(__xludf.DUMMYFUNCTION("""COMPUTED_VALUE"""),"Normale")</f>
        <v>Normale</v>
      </c>
      <c r="I157" s="10" t="str">
        <f>IFERROR(__xludf.DUMMYFUNCTION("""COMPUTED_VALUE"""),"Non")</f>
        <v>Non</v>
      </c>
      <c r="J157" s="10" t="str">
        <f>IFERROR(__xludf.DUMMYFUNCTION("""COMPUTED_VALUE"""),"Attaque paralysante - Auto")</f>
        <v>Attaque paralysante - Auto</v>
      </c>
      <c r="K157" s="10" t="str">
        <f>IFERROR(__xludf.DUMMYFUNCTION("""COMPUTED_VALUE"""),"-")</f>
        <v>-</v>
      </c>
      <c r="L157" s="10" t="str">
        <f>IFERROR(__xludf.DUMMYFUNCTION("""COMPUTED_VALUE"""),"50 ±35")</f>
        <v>50 ±35</v>
      </c>
      <c r="M157" s="10" t="str">
        <f>IFERROR(__xludf.DUMMYFUNCTION("""COMPUTED_VALUE"""),"5 ±3")</f>
        <v>5 ±3</v>
      </c>
      <c r="N157" s="10" t="str">
        <f>IFERROR(__xludf.DUMMYFUNCTION("""COMPUTED_VALUE"""),"2 ±2")</f>
        <v>2 ±2</v>
      </c>
      <c r="O157" s="10" t="str">
        <f>IFERROR(__xludf.DUMMYFUNCTION("""COMPUTED_VALUE"""),"7 ±4")</f>
        <v>7 ±4</v>
      </c>
      <c r="P157" s="10" t="str">
        <f>IFERROR(__xludf.DUMMYFUNCTION("""COMPUTED_VALUE"""),"3 ±3")</f>
        <v>3 ±3</v>
      </c>
      <c r="Q157" s="10" t="str">
        <f>IFERROR(__xludf.DUMMYFUNCTION("""COMPUTED_VALUE"""),"1 ±1")</f>
        <v>1 ±1</v>
      </c>
      <c r="R157" s="10" t="str">
        <f>IFERROR(__xludf.DUMMYFUNCTION("""COMPUTED_VALUE"""),"6 ±3")</f>
        <v>6 ±3</v>
      </c>
      <c r="S157" s="10" t="str">
        <f>IFERROR(__xludf.DUMMYFUNCTION("""COMPUTED_VALUE"""),"")</f>
        <v/>
      </c>
      <c r="T157" s="10" t="str">
        <f>IFERROR(__xludf.DUMMYFUNCTION("""COMPUTED_VALUE"""),"300 ±300")</f>
        <v>300 ±300</v>
      </c>
      <c r="U157" s="10" t="str">
        <f>IFERROR(__xludf.DUMMYFUNCTION("""COMPUTED_VALUE"""),"100 ±100")</f>
        <v>100 ±100</v>
      </c>
      <c r="V157" s="10" t="str">
        <f>IFERROR(__xludf.DUMMYFUNCTION("""COMPUTED_VALUE"""),"")</f>
        <v/>
      </c>
      <c r="W157" s="10">
        <f>IFERROR(__xludf.DUMMYFUNCTION("""COMPUTED_VALUE"""),25.0)</f>
        <v>25</v>
      </c>
      <c r="X157" s="10" t="str">
        <f>IFERROR(__xludf.DUMMYFUNCTION("""COMPUTED_VALUE"""),"")</f>
        <v/>
      </c>
      <c r="Y157" s="10"/>
      <c r="Z157" s="10"/>
      <c r="AA157" s="10"/>
      <c r="AB157" s="10"/>
      <c r="AC157" s="10"/>
      <c r="AD157" s="10"/>
      <c r="AE157" s="10"/>
      <c r="AF157" s="10"/>
      <c r="AG157" s="10"/>
      <c r="AH157" s="10"/>
    </row>
    <row r="158">
      <c r="A158" s="10">
        <f>IFERROR(__xludf.DUMMYFUNCTION("""COMPUTED_VALUE"""),132.0)</f>
        <v>132</v>
      </c>
      <c r="B158" s="10" t="str">
        <f>IFERROR(__xludf.DUMMYFUNCTION("""COMPUTED_VALUE"""),"Sorcière")</f>
        <v>Sorcière</v>
      </c>
      <c r="C158" s="10" t="str">
        <f>IFERROR(__xludf.DUMMYFUNCTION("""COMPUTED_VALUE"""),"Humanoïde")</f>
        <v>Humanoïde</v>
      </c>
      <c r="D158" s="10">
        <f>IFERROR(__xludf.DUMMYFUNCTION("""COMPUTED_VALUE"""),17.0)</f>
        <v>17</v>
      </c>
      <c r="E158" s="10">
        <f>IFERROR(__xludf.DUMMYFUNCTION("""COMPUTED_VALUE"""),1.0)</f>
        <v>1</v>
      </c>
      <c r="F158" s="10" t="str">
        <f>IFERROR(__xludf.DUMMYFUNCTION("""COMPUTED_VALUE"""),"Oui")</f>
        <v>Oui</v>
      </c>
      <c r="G158" s="10" t="str">
        <f>IFERROR(__xludf.DUMMYFUNCTION("""COMPUTED_VALUE"""),"Non")</f>
        <v>Non</v>
      </c>
      <c r="H158" s="10" t="str">
        <f>IFERROR(__xludf.DUMMYFUNCTION("""COMPUTED_VALUE"""),"Rapide")</f>
        <v>Rapide</v>
      </c>
      <c r="I158" s="10" t="str">
        <f>IFERROR(__xludf.DUMMYFUNCTION("""COMPUTED_VALUE"""),"Oui")</f>
        <v>Oui</v>
      </c>
      <c r="J158" s="10" t="str">
        <f>IFERROR(__xludf.DUMMYFUNCTION("""COMPUTED_VALUE"""),"Charme - Zone")</f>
        <v>Charme - Zone</v>
      </c>
      <c r="K158" s="10" t="str">
        <f>IFERROR(__xludf.DUMMYFUNCTION("""COMPUTED_VALUE"""),"-")</f>
        <v>-</v>
      </c>
      <c r="L158" s="10" t="str">
        <f>IFERROR(__xludf.DUMMYFUNCTION("""COMPUTED_VALUE"""),"100 ±35")</f>
        <v>100 ±35</v>
      </c>
      <c r="M158" s="10" t="str">
        <f>IFERROR(__xludf.DUMMYFUNCTION("""COMPUTED_VALUE"""),"10 ±3")</f>
        <v>10 ±3</v>
      </c>
      <c r="N158" s="10" t="str">
        <f>IFERROR(__xludf.DUMMYFUNCTION("""COMPUTED_VALUE"""),"11 ±4")</f>
        <v>11 ±4</v>
      </c>
      <c r="O158" s="10" t="str">
        <f>IFERROR(__xludf.DUMMYFUNCTION("""COMPUTED_VALUE"""),"6 ±3")</f>
        <v>6 ±3</v>
      </c>
      <c r="P158" s="10" t="str">
        <f>IFERROR(__xludf.DUMMYFUNCTION("""COMPUTED_VALUE"""),"4 ±2")</f>
        <v>4 ±2</v>
      </c>
      <c r="Q158" s="10" t="str">
        <f>IFERROR(__xludf.DUMMYFUNCTION("""COMPUTED_VALUE"""),"2 ±1")</f>
        <v>2 ±1</v>
      </c>
      <c r="R158" s="10" t="str">
        <f>IFERROR(__xludf.DUMMYFUNCTION("""COMPUTED_VALUE"""),"9 ±3")</f>
        <v>9 ±3</v>
      </c>
      <c r="S158" s="10" t="str">
        <f>IFERROR(__xludf.DUMMYFUNCTION("""COMPUTED_VALUE"""),"")</f>
        <v/>
      </c>
      <c r="T158" s="10" t="str">
        <f>IFERROR(__xludf.DUMMYFUNCTION("""COMPUTED_VALUE"""),"1300 ±400")</f>
        <v>1300 ±400</v>
      </c>
      <c r="U158" s="10" t="str">
        <f>IFERROR(__xludf.DUMMYFUNCTION("""COMPUTED_VALUE"""),"800 ±300")</f>
        <v>800 ±300</v>
      </c>
      <c r="V158" s="10" t="str">
        <f>IFERROR(__xludf.DUMMYFUNCTION("""COMPUTED_VALUE"""),"11 ±3")</f>
        <v>11 ±3</v>
      </c>
      <c r="W158" s="10">
        <f>IFERROR(__xludf.DUMMYFUNCTION("""COMPUTED_VALUE"""),98.0)</f>
        <v>98</v>
      </c>
      <c r="X158" s="10" t="str">
        <f>IFERROR(__xludf.DUMMYFUNCTION("""COMPUTED_VALUE"""),"")</f>
        <v/>
      </c>
      <c r="Y158" s="10"/>
      <c r="Z158" s="10"/>
      <c r="AA158" s="10"/>
      <c r="AB158" s="10"/>
      <c r="AC158" s="10"/>
      <c r="AD158" s="10"/>
      <c r="AE158" s="10"/>
      <c r="AF158" s="10"/>
      <c r="AG158" s="10"/>
      <c r="AH158" s="10"/>
    </row>
    <row r="159">
      <c r="A159" s="10">
        <f>IFERROR(__xludf.DUMMYFUNCTION("""COMPUTED_VALUE"""),90.0)</f>
        <v>90</v>
      </c>
      <c r="B159" s="10" t="str">
        <f>IFERROR(__xludf.DUMMYFUNCTION("""COMPUTED_VALUE"""),"Spectre")</f>
        <v>Spectre</v>
      </c>
      <c r="C159" s="10" t="str">
        <f>IFERROR(__xludf.DUMMYFUNCTION("""COMPUTED_VALUE"""),"Mort-Vivant")</f>
        <v>Mort-Vivant</v>
      </c>
      <c r="D159" s="10">
        <f>IFERROR(__xludf.DUMMYFUNCTION("""COMPUTED_VALUE"""),14.0)</f>
        <v>14</v>
      </c>
      <c r="E159" s="10">
        <f>IFERROR(__xludf.DUMMYFUNCTION("""COMPUTED_VALUE"""),1.0)</f>
        <v>1</v>
      </c>
      <c r="F159" s="10" t="str">
        <f>IFERROR(__xludf.DUMMYFUNCTION("""COMPUTED_VALUE"""),"Oui")</f>
        <v>Oui</v>
      </c>
      <c r="G159" s="10" t="str">
        <f>IFERROR(__xludf.DUMMYFUNCTION("""COMPUTED_VALUE"""),"Oui (1)")</f>
        <v>Oui (1)</v>
      </c>
      <c r="H159" s="10" t="str">
        <f>IFERROR(__xludf.DUMMYFUNCTION("""COMPUTED_VALUE"""),"Normale")</f>
        <v>Normale</v>
      </c>
      <c r="I159" s="10" t="str">
        <f>IFERROR(__xludf.DUMMYFUNCTION("""COMPUTED_VALUE"""),"Non")</f>
        <v>Non</v>
      </c>
      <c r="J159" s="10" t="str">
        <f>IFERROR(__xludf.DUMMYFUNCTION("""COMPUTED_VALUE"""),"Drain de vie - Auto")</f>
        <v>Drain de vie - Auto</v>
      </c>
      <c r="K159" s="10" t="str">
        <f>IFERROR(__xludf.DUMMYFUNCTION("""COMPUTED_VALUE"""),"-")</f>
        <v>-</v>
      </c>
      <c r="L159" s="10" t="str">
        <f>IFERROR(__xludf.DUMMYFUNCTION("""COMPUTED_VALUE"""),"80 ±30")</f>
        <v>80 ±30</v>
      </c>
      <c r="M159" s="10" t="str">
        <f>IFERROR(__xludf.DUMMYFUNCTION("""COMPUTED_VALUE"""),"10 ±3")</f>
        <v>10 ±3</v>
      </c>
      <c r="N159" s="10" t="str">
        <f>IFERROR(__xludf.DUMMYFUNCTION("""COMPUTED_VALUE"""),"9 ±3")</f>
        <v>9 ±3</v>
      </c>
      <c r="O159" s="10" t="str">
        <f>IFERROR(__xludf.DUMMYFUNCTION("""COMPUTED_VALUE"""),"5 ±3")</f>
        <v>5 ±3</v>
      </c>
      <c r="P159" s="10" t="str">
        <f>IFERROR(__xludf.DUMMYFUNCTION("""COMPUTED_VALUE"""),"4 ±3")</f>
        <v>4 ±3</v>
      </c>
      <c r="Q159" s="10" t="str">
        <f>IFERROR(__xludf.DUMMYFUNCTION("""COMPUTED_VALUE"""),"1 ±1")</f>
        <v>1 ±1</v>
      </c>
      <c r="R159" s="10" t="str">
        <f>IFERROR(__xludf.DUMMYFUNCTION("""COMPUTED_VALUE"""),"15 ±4")</f>
        <v>15 ±4</v>
      </c>
      <c r="S159" s="10" t="str">
        <f>IFERROR(__xludf.DUMMYFUNCTION("""COMPUTED_VALUE"""),"")</f>
        <v/>
      </c>
      <c r="T159" s="10" t="str">
        <f>IFERROR(__xludf.DUMMYFUNCTION("""COMPUTED_VALUE"""),"1100 ±400")</f>
        <v>1100 ±400</v>
      </c>
      <c r="U159" s="10" t="str">
        <f>IFERROR(__xludf.DUMMYFUNCTION("""COMPUTED_VALUE"""),"600 ±300")</f>
        <v>600 ±300</v>
      </c>
      <c r="V159" s="10" t="str">
        <f>IFERROR(__xludf.DUMMYFUNCTION("""COMPUTED_VALUE"""),"11 ±3")</f>
        <v>11 ±3</v>
      </c>
      <c r="W159" s="10">
        <f>IFERROR(__xludf.DUMMYFUNCTION("""COMPUTED_VALUE"""),70.0)</f>
        <v>70</v>
      </c>
      <c r="X159" s="10" t="str">
        <f>IFERROR(__xludf.DUMMYFUNCTION("""COMPUTED_VALUE"""),"")</f>
        <v/>
      </c>
      <c r="Y159" s="10"/>
      <c r="Z159" s="10"/>
      <c r="AA159" s="10"/>
      <c r="AB159" s="10"/>
      <c r="AC159" s="10"/>
      <c r="AD159" s="10"/>
      <c r="AE159" s="10"/>
      <c r="AF159" s="10"/>
      <c r="AG159" s="10"/>
      <c r="AH159" s="10"/>
    </row>
    <row r="160">
      <c r="A160" s="10" t="str">
        <f>IFERROR(__xludf.DUMMYFUNCTION("""COMPUTED_VALUE"""),"*Id*")</f>
        <v>*Id*</v>
      </c>
      <c r="B160" s="10" t="str">
        <f>IFERROR(__xludf.DUMMYFUNCTION("""COMPUTED_VALUE"""),"*Nom*")</f>
        <v>*Nom*</v>
      </c>
      <c r="C160" s="10" t="str">
        <f>IFERROR(__xludf.DUMMYFUNCTION("""COMPUTED_VALUE"""),"*Famille*")</f>
        <v>*Famille*</v>
      </c>
      <c r="D160" s="10" t="str">
        <f>IFERROR(__xludf.DUMMYFUNCTION("""COMPUTED_VALUE"""),"*Niv*")</f>
        <v>*Niv*</v>
      </c>
      <c r="E160" s="10" t="str">
        <f>IFERROR(__xludf.DUMMYFUNCTION("""COMPUTED_VALUE"""),"*Nb att*")</f>
        <v>*Nb att*</v>
      </c>
      <c r="F160" s="10" t="str">
        <f>IFERROR(__xludf.DUMMYFUNCTION("""COMPUTED_VALUE"""),"*Att mag*")</f>
        <v>*Att mag*</v>
      </c>
      <c r="G160" s="10" t="str">
        <f>IFERROR(__xludf.DUMMYFUNCTION("""COMPUTED_VALUE"""),"*Att dist*")</f>
        <v>*Att dist*</v>
      </c>
      <c r="H160" s="10" t="str">
        <f>IFERROR(__xludf.DUMMYFUNCTION("""COMPUTED_VALUE"""),"*Vit*")</f>
        <v>*Vit*</v>
      </c>
      <c r="I160" s="10" t="str">
        <f>IFERROR(__xludf.DUMMYFUNCTION("""COMPUTED_VALUE"""),"*VlC*")</f>
        <v>*VlC*</v>
      </c>
      <c r="J160" s="10" t="str">
        <f>IFERROR(__xludf.DUMMYFUNCTION("""COMPUTED_VALUE"""),"*Pouvoir 1*")</f>
        <v>*Pouvoir 1*</v>
      </c>
      <c r="K160" s="10" t="str">
        <f>IFERROR(__xludf.DUMMYFUNCTION("""COMPUTED_VALUE"""),"*Pouvoir 2*")</f>
        <v>*Pouvoir 2*</v>
      </c>
      <c r="L160" s="10" t="str">
        <f>IFERROR(__xludf.DUMMYFUNCTION("""COMPUTED_VALUE"""),"*PV*")</f>
        <v>*PV*</v>
      </c>
      <c r="M160" s="10" t="str">
        <f>IFERROR(__xludf.DUMMYFUNCTION("""COMPUTED_VALUE"""),"*Att*")</f>
        <v>*Att*</v>
      </c>
      <c r="N160" s="10" t="str">
        <f>IFERROR(__xludf.DUMMYFUNCTION("""COMPUTED_VALUE"""),"*Esq*")</f>
        <v>*Esq*</v>
      </c>
      <c r="O160" s="10" t="str">
        <f>IFERROR(__xludf.DUMMYFUNCTION("""COMPUTED_VALUE"""),"*Dégât*")</f>
        <v>*Dégât*</v>
      </c>
      <c r="P160" s="10" t="str">
        <f>IFERROR(__xludf.DUMMYFUNCTION("""COMPUTED_VALUE"""),"*Vue*")</f>
        <v>*Vue*</v>
      </c>
      <c r="Q160" s="10" t="str">
        <f>IFERROR(__xludf.DUMMYFUNCTION("""COMPUTED_VALUE"""),"*Régen*")</f>
        <v>*Régen*</v>
      </c>
      <c r="R160" s="10" t="str">
        <f>IFERROR(__xludf.DUMMYFUNCTION("""COMPUTED_VALUE"""),"*Arm phy*")</f>
        <v>*Arm phy*</v>
      </c>
      <c r="S160" s="10" t="str">
        <f>IFERROR(__xludf.DUMMYFUNCTION("""COMPUTED_VALUE"""),"*Arm mag*")</f>
        <v>*Arm mag*</v>
      </c>
      <c r="T160" s="10" t="str">
        <f>IFERROR(__xludf.DUMMYFUNCTION("""COMPUTED_VALUE"""),"*MM*")</f>
        <v>*MM*</v>
      </c>
      <c r="U160" s="10" t="str">
        <f>IFERROR(__xludf.DUMMYFUNCTION("""COMPUTED_VALUE"""),"*RM*")</f>
        <v>*RM*</v>
      </c>
      <c r="V160" s="10" t="str">
        <f>IFERROR(__xludf.DUMMYFUNCTION("""COMPUTED_VALUE"""),"*DLA*")</f>
        <v>*DLA*</v>
      </c>
      <c r="W160" s="10" t="str">
        <f>IFERROR(__xludf.DUMMYFUNCTION("""COMPUTED_VALUE"""),"*Echant*")</f>
        <v>*Echant*</v>
      </c>
      <c r="X160" s="10" t="str">
        <f>IFERROR(__xludf.DUMMYFUNCTION("""COMPUTED_VALUE"""),"")</f>
        <v/>
      </c>
      <c r="Y160" s="10"/>
      <c r="Z160" s="10"/>
      <c r="AA160" s="10"/>
      <c r="AB160" s="10"/>
      <c r="AC160" s="10"/>
      <c r="AD160" s="10"/>
      <c r="AE160" s="10"/>
      <c r="AF160" s="10"/>
      <c r="AG160" s="10"/>
      <c r="AH160" s="10"/>
    </row>
    <row r="161">
      <c r="A161" s="10">
        <f>IFERROR(__xludf.DUMMYFUNCTION("""COMPUTED_VALUE"""),201.0)</f>
        <v>201</v>
      </c>
      <c r="B161" s="10" t="str">
        <f>IFERROR(__xludf.DUMMYFUNCTION("""COMPUTED_VALUE"""),"Sphinx")</f>
        <v>Sphinx</v>
      </c>
      <c r="C161" s="10" t="str">
        <f>IFERROR(__xludf.DUMMYFUNCTION("""COMPUTED_VALUE"""),"Humanoïde")</f>
        <v>Humanoïde</v>
      </c>
      <c r="D161" s="10">
        <f>IFERROR(__xludf.DUMMYFUNCTION("""COMPUTED_VALUE"""),30.0)</f>
        <v>30</v>
      </c>
      <c r="E161" s="10">
        <f>IFERROR(__xludf.DUMMYFUNCTION("""COMPUTED_VALUE"""),1.0)</f>
        <v>1</v>
      </c>
      <c r="F161" s="10" t="str">
        <f>IFERROR(__xludf.DUMMYFUNCTION("""COMPUTED_VALUE"""),"Non")</f>
        <v>Non</v>
      </c>
      <c r="G161" s="10" t="str">
        <f>IFERROR(__xludf.DUMMYFUNCTION("""COMPUTED_VALUE"""),"Non")</f>
        <v>Non</v>
      </c>
      <c r="H161" s="10" t="str">
        <f>IFERROR(__xludf.DUMMYFUNCTION("""COMPUTED_VALUE"""),"Normale")</f>
        <v>Normale</v>
      </c>
      <c r="I161" s="10" t="str">
        <f>IFERROR(__xludf.DUMMYFUNCTION("""COMPUTED_VALUE"""),"Oui")</f>
        <v>Oui</v>
      </c>
      <c r="J161" s="10" t="str">
        <f>IFERROR(__xludf.DUMMYFUNCTION("""COMPUTED_VALUE"""),"Regard magique - Auto")</f>
        <v>Regard magique - Auto</v>
      </c>
      <c r="K161" s="10" t="str">
        <f>IFERROR(__xludf.DUMMYFUNCTION("""COMPUTED_VALUE"""),"Lévitation")</f>
        <v>Lévitation</v>
      </c>
      <c r="L161" s="10" t="str">
        <f>IFERROR(__xludf.DUMMYFUNCTION("""COMPUTED_VALUE"""),"140 ±40")</f>
        <v>140 ±40</v>
      </c>
      <c r="M161" s="10" t="str">
        <f>IFERROR(__xludf.DUMMYFUNCTION("""COMPUTED_VALUE"""),"10 ±3")</f>
        <v>10 ±3</v>
      </c>
      <c r="N161" s="10" t="str">
        <f>IFERROR(__xludf.DUMMYFUNCTION("""COMPUTED_VALUE"""),"15 ±3")</f>
        <v>15 ±3</v>
      </c>
      <c r="O161" s="10" t="str">
        <f>IFERROR(__xludf.DUMMYFUNCTION("""COMPUTED_VALUE"""),"14 ±3")</f>
        <v>14 ±3</v>
      </c>
      <c r="P161" s="10" t="str">
        <f>IFERROR(__xludf.DUMMYFUNCTION("""COMPUTED_VALUE"""),"6 ±3")</f>
        <v>6 ±3</v>
      </c>
      <c r="Q161" s="10" t="str">
        <f>IFERROR(__xludf.DUMMYFUNCTION("""COMPUTED_VALUE"""),"6 ±2")</f>
        <v>6 ±2</v>
      </c>
      <c r="R161" s="10" t="str">
        <f>IFERROR(__xludf.DUMMYFUNCTION("""COMPUTED_VALUE"""),"20 ±3")</f>
        <v>20 ±3</v>
      </c>
      <c r="S161" s="10" t="str">
        <f>IFERROR(__xludf.DUMMYFUNCTION("""COMPUTED_VALUE"""),"")</f>
        <v/>
      </c>
      <c r="T161" s="10" t="str">
        <f>IFERROR(__xludf.DUMMYFUNCTION("""COMPUTED_VALUE"""),"3000 ±700")</f>
        <v>3000 ±700</v>
      </c>
      <c r="U161" s="10" t="str">
        <f>IFERROR(__xludf.DUMMYFUNCTION("""COMPUTED_VALUE"""),"2000 ±400")</f>
        <v>2000 ±400</v>
      </c>
      <c r="V161" s="10" t="str">
        <f>IFERROR(__xludf.DUMMYFUNCTION("""COMPUTED_VALUE"""),"10 ±3")</f>
        <v>10 ±3</v>
      </c>
      <c r="W161" s="10">
        <f>IFERROR(__xludf.DUMMYFUNCTION("""COMPUTED_VALUE"""),92.0)</f>
        <v>92</v>
      </c>
      <c r="X161" s="10" t="str">
        <f>IFERROR(__xludf.DUMMYFUNCTION("""COMPUTED_VALUE"""),"")</f>
        <v/>
      </c>
      <c r="Y161" s="10"/>
      <c r="Z161" s="10"/>
      <c r="AA161" s="10"/>
      <c r="AB161" s="10"/>
      <c r="AC161" s="10"/>
      <c r="AD161" s="10"/>
      <c r="AE161" s="10"/>
      <c r="AF161" s="10"/>
      <c r="AG161" s="10"/>
      <c r="AH161" s="10"/>
    </row>
    <row r="162">
      <c r="A162" s="10">
        <f>IFERROR(__xludf.DUMMYFUNCTION("""COMPUTED_VALUE"""),6.0)</f>
        <v>6</v>
      </c>
      <c r="B162" s="10" t="str">
        <f>IFERROR(__xludf.DUMMYFUNCTION("""COMPUTED_VALUE"""),"Squelette")</f>
        <v>Squelette</v>
      </c>
      <c r="C162" s="10" t="str">
        <f>IFERROR(__xludf.DUMMYFUNCTION("""COMPUTED_VALUE"""),"Mort-Vivant")</f>
        <v>Mort-Vivant</v>
      </c>
      <c r="D162" s="10">
        <f>IFERROR(__xludf.DUMMYFUNCTION("""COMPUTED_VALUE"""),1.0)</f>
        <v>1</v>
      </c>
      <c r="E162" s="10">
        <f>IFERROR(__xludf.DUMMYFUNCTION("""COMPUTED_VALUE"""),1.0)</f>
        <v>1</v>
      </c>
      <c r="F162" s="10" t="str">
        <f>IFERROR(__xludf.DUMMYFUNCTION("""COMPUTED_VALUE"""),"Non")</f>
        <v>Non</v>
      </c>
      <c r="G162" s="10" t="str">
        <f>IFERROR(__xludf.DUMMYFUNCTION("""COMPUTED_VALUE"""),"Non")</f>
        <v>Non</v>
      </c>
      <c r="H162" s="10" t="str">
        <f>IFERROR(__xludf.DUMMYFUNCTION("""COMPUTED_VALUE"""),"Lente")</f>
        <v>Lente</v>
      </c>
      <c r="I162" s="10" t="str">
        <f>IFERROR(__xludf.DUMMYFUNCTION("""COMPUTED_VALUE"""),"Oui")</f>
        <v>Oui</v>
      </c>
      <c r="J162" s="10" t="str">
        <f>IFERROR(__xludf.DUMMYFUNCTION("""COMPUTED_VALUE"""),"-")</f>
        <v>-</v>
      </c>
      <c r="K162" s="10" t="str">
        <f>IFERROR(__xludf.DUMMYFUNCTION("""COMPUTED_VALUE"""),"-")</f>
        <v>-</v>
      </c>
      <c r="L162" s="10" t="str">
        <f>IFERROR(__xludf.DUMMYFUNCTION("""COMPUTED_VALUE"""),"30 ±25")</f>
        <v>30 ±25</v>
      </c>
      <c r="M162" s="10" t="str">
        <f>IFERROR(__xludf.DUMMYFUNCTION("""COMPUTED_VALUE"""),"3 ±2")</f>
        <v>3 ±2</v>
      </c>
      <c r="N162" s="10" t="str">
        <f>IFERROR(__xludf.DUMMYFUNCTION("""COMPUTED_VALUE"""),"3 ±2")</f>
        <v>3 ±2</v>
      </c>
      <c r="O162" s="10" t="str">
        <f>IFERROR(__xludf.DUMMYFUNCTION("""COMPUTED_VALUE"""),"3 ±2")</f>
        <v>3 ±2</v>
      </c>
      <c r="P162" s="10" t="str">
        <f>IFERROR(__xludf.DUMMYFUNCTION("""COMPUTED_VALUE"""),"2 ±2")</f>
        <v>2 ±2</v>
      </c>
      <c r="Q162" s="10" t="str">
        <f>IFERROR(__xludf.DUMMYFUNCTION("""COMPUTED_VALUE"""),"1 ±1")</f>
        <v>1 ±1</v>
      </c>
      <c r="R162" s="10" t="str">
        <f>IFERROR(__xludf.DUMMYFUNCTION("""COMPUTED_VALUE"""),"2 ±2")</f>
        <v>2 ±2</v>
      </c>
      <c r="S162" s="10" t="str">
        <f>IFERROR(__xludf.DUMMYFUNCTION("""COMPUTED_VALUE"""),"")</f>
        <v/>
      </c>
      <c r="T162" s="10" t="str">
        <f>IFERROR(__xludf.DUMMYFUNCTION("""COMPUTED_VALUE"""),"200 ±200")</f>
        <v>200 ±200</v>
      </c>
      <c r="U162" s="10" t="str">
        <f>IFERROR(__xludf.DUMMYFUNCTION("""COMPUTED_VALUE"""),"100 ±100")</f>
        <v>100 ±100</v>
      </c>
      <c r="V162" s="10" t="str">
        <f>IFERROR(__xludf.DUMMYFUNCTION("""COMPUTED_VALUE"""),"11 ±3")</f>
        <v>11 ±3</v>
      </c>
      <c r="W162" s="10">
        <f>IFERROR(__xludf.DUMMYFUNCTION("""COMPUTED_VALUE"""),51.0)</f>
        <v>51</v>
      </c>
      <c r="X162" s="10" t="str">
        <f>IFERROR(__xludf.DUMMYFUNCTION("""COMPUTED_VALUE"""),"")</f>
        <v/>
      </c>
      <c r="Y162" s="10"/>
      <c r="Z162" s="10"/>
      <c r="AA162" s="10"/>
      <c r="AB162" s="10"/>
      <c r="AC162" s="10"/>
      <c r="AD162" s="10"/>
      <c r="AE162" s="10"/>
      <c r="AF162" s="10"/>
      <c r="AG162" s="10"/>
      <c r="AH162" s="10"/>
    </row>
    <row r="163">
      <c r="A163" s="10">
        <f>IFERROR(__xludf.DUMMYFUNCTION("""COMPUTED_VALUE"""),127.0)</f>
        <v>127</v>
      </c>
      <c r="B163" s="10" t="str">
        <f>IFERROR(__xludf.DUMMYFUNCTION("""COMPUTED_VALUE"""),"Strige")</f>
        <v>Strige</v>
      </c>
      <c r="C163" s="10" t="str">
        <f>IFERROR(__xludf.DUMMYFUNCTION("""COMPUTED_VALUE"""),"Insecte")</f>
        <v>Insecte</v>
      </c>
      <c r="D163" s="10">
        <f>IFERROR(__xludf.DUMMYFUNCTION("""COMPUTED_VALUE"""),2.0)</f>
        <v>2</v>
      </c>
      <c r="E163" s="10">
        <f>IFERROR(__xludf.DUMMYFUNCTION("""COMPUTED_VALUE"""),1.0)</f>
        <v>1</v>
      </c>
      <c r="F163" s="10" t="str">
        <f>IFERROR(__xludf.DUMMYFUNCTION("""COMPUTED_VALUE"""),"Non")</f>
        <v>Non</v>
      </c>
      <c r="G163" s="10" t="str">
        <f>IFERROR(__xludf.DUMMYFUNCTION("""COMPUTED_VALUE"""),"Non")</f>
        <v>Non</v>
      </c>
      <c r="H163" s="10" t="str">
        <f>IFERROR(__xludf.DUMMYFUNCTION("""COMPUTED_VALUE"""),"Normale")</f>
        <v>Normale</v>
      </c>
      <c r="I163" s="10" t="str">
        <f>IFERROR(__xludf.DUMMYFUNCTION("""COMPUTED_VALUE"""),"Non")</f>
        <v>Non</v>
      </c>
      <c r="J163" s="10" t="str">
        <f>IFERROR(__xludf.DUMMYFUNCTION("""COMPUTED_VALUE"""),"Drain de vie - Toucher")</f>
        <v>Drain de vie - Toucher</v>
      </c>
      <c r="K163" s="10" t="str">
        <f>IFERROR(__xludf.DUMMYFUNCTION("""COMPUTED_VALUE"""),"Lévitation")</f>
        <v>Lévitation</v>
      </c>
      <c r="L163" s="10" t="str">
        <f>IFERROR(__xludf.DUMMYFUNCTION("""COMPUTED_VALUE"""),"25 ±25")</f>
        <v>25 ±25</v>
      </c>
      <c r="M163" s="10" t="str">
        <f>IFERROR(__xludf.DUMMYFUNCTION("""COMPUTED_VALUE"""),"5 ±3")</f>
        <v>5 ±3</v>
      </c>
      <c r="N163" s="10" t="str">
        <f>IFERROR(__xludf.DUMMYFUNCTION("""COMPUTED_VALUE"""),"2 ±2")</f>
        <v>2 ±2</v>
      </c>
      <c r="O163" s="10" t="str">
        <f>IFERROR(__xludf.DUMMYFUNCTION("""COMPUTED_VALUE"""),"2 ±2")</f>
        <v>2 ±2</v>
      </c>
      <c r="P163" s="10" t="str">
        <f>IFERROR(__xludf.DUMMYFUNCTION("""COMPUTED_VALUE"""),"3 ±2")</f>
        <v>3 ±2</v>
      </c>
      <c r="Q163" s="10" t="str">
        <f>IFERROR(__xludf.DUMMYFUNCTION("""COMPUTED_VALUE"""),"1 ±1")</f>
        <v>1 ±1</v>
      </c>
      <c r="R163" s="10" t="str">
        <f>IFERROR(__xludf.DUMMYFUNCTION("""COMPUTED_VALUE"""),"1 ±2")</f>
        <v>1 ±2</v>
      </c>
      <c r="S163" s="10" t="str">
        <f>IFERROR(__xludf.DUMMYFUNCTION("""COMPUTED_VALUE"""),"")</f>
        <v/>
      </c>
      <c r="T163" s="10" t="str">
        <f>IFERROR(__xludf.DUMMYFUNCTION("""COMPUTED_VALUE"""),"100 ±100")</f>
        <v>100 ±100</v>
      </c>
      <c r="U163" s="10" t="str">
        <f>IFERROR(__xludf.DUMMYFUNCTION("""COMPUTED_VALUE"""),"100 ±100")</f>
        <v>100 ±100</v>
      </c>
      <c r="V163" s="10" t="str">
        <f>IFERROR(__xludf.DUMMYFUNCTION("""COMPUTED_VALUE"""),"11 ±4")</f>
        <v>11 ±4</v>
      </c>
      <c r="W163" s="10">
        <f>IFERROR(__xludf.DUMMYFUNCTION("""COMPUTED_VALUE"""),53.0)</f>
        <v>53</v>
      </c>
      <c r="X163" s="10" t="str">
        <f>IFERROR(__xludf.DUMMYFUNCTION("""COMPUTED_VALUE"""),"")</f>
        <v/>
      </c>
      <c r="Y163" s="10"/>
      <c r="Z163" s="10"/>
      <c r="AA163" s="10"/>
      <c r="AB163" s="10"/>
      <c r="AC163" s="10"/>
      <c r="AD163" s="10"/>
      <c r="AE163" s="10"/>
      <c r="AF163" s="10"/>
      <c r="AG163" s="10"/>
      <c r="AH163" s="10"/>
    </row>
    <row r="164">
      <c r="A164" s="10">
        <f>IFERROR(__xludf.DUMMYFUNCTION("""COMPUTED_VALUE"""),10.0)</f>
        <v>10</v>
      </c>
      <c r="B164" s="10" t="str">
        <f>IFERROR(__xludf.DUMMYFUNCTION("""COMPUTED_VALUE"""),"Succube")</f>
        <v>Succube</v>
      </c>
      <c r="C164" s="10" t="str">
        <f>IFERROR(__xludf.DUMMYFUNCTION("""COMPUTED_VALUE"""),"Démon")</f>
        <v>Démon</v>
      </c>
      <c r="D164" s="10">
        <f>IFERROR(__xludf.DUMMYFUNCTION("""COMPUTED_VALUE"""),13.0)</f>
        <v>13</v>
      </c>
      <c r="E164" s="10">
        <f>IFERROR(__xludf.DUMMYFUNCTION("""COMPUTED_VALUE"""),2.0)</f>
        <v>2</v>
      </c>
      <c r="F164" s="10" t="str">
        <f>IFERROR(__xludf.DUMMYFUNCTION("""COMPUTED_VALUE"""),"Non")</f>
        <v>Non</v>
      </c>
      <c r="G164" s="10" t="str">
        <f>IFERROR(__xludf.DUMMYFUNCTION("""COMPUTED_VALUE"""),"Non")</f>
        <v>Non</v>
      </c>
      <c r="H164" s="10" t="str">
        <f>IFERROR(__xludf.DUMMYFUNCTION("""COMPUTED_VALUE"""),"Normale")</f>
        <v>Normale</v>
      </c>
      <c r="I164" s="10" t="str">
        <f>IFERROR(__xludf.DUMMYFUNCTION("""COMPUTED_VALUE"""),"Oui")</f>
        <v>Oui</v>
      </c>
      <c r="J164" s="10" t="str">
        <f>IFERROR(__xludf.DUMMYFUNCTION("""COMPUTED_VALUE"""),"-")</f>
        <v>-</v>
      </c>
      <c r="K164" s="10" t="str">
        <f>IFERROR(__xludf.DUMMYFUNCTION("""COMPUTED_VALUE"""),"Lévitation")</f>
        <v>Lévitation</v>
      </c>
      <c r="L164" s="10" t="str">
        <f>IFERROR(__xludf.DUMMYFUNCTION("""COMPUTED_VALUE"""),"100 ±35")</f>
        <v>100 ±35</v>
      </c>
      <c r="M164" s="10" t="str">
        <f>IFERROR(__xludf.DUMMYFUNCTION("""COMPUTED_VALUE"""),"6 ±3")</f>
        <v>6 ±3</v>
      </c>
      <c r="N164" s="10" t="str">
        <f>IFERROR(__xludf.DUMMYFUNCTION("""COMPUTED_VALUE"""),"6 ±3")</f>
        <v>6 ±3</v>
      </c>
      <c r="O164" s="10" t="str">
        <f>IFERROR(__xludf.DUMMYFUNCTION("""COMPUTED_VALUE"""),"6 ±3")</f>
        <v>6 ±3</v>
      </c>
      <c r="P164" s="10" t="str">
        <f>IFERROR(__xludf.DUMMYFUNCTION("""COMPUTED_VALUE"""),"4 ±2")</f>
        <v>4 ±2</v>
      </c>
      <c r="Q164" s="10" t="str">
        <f>IFERROR(__xludf.DUMMYFUNCTION("""COMPUTED_VALUE"""),"2 ±1")</f>
        <v>2 ±1</v>
      </c>
      <c r="R164" s="10" t="str">
        <f>IFERROR(__xludf.DUMMYFUNCTION("""COMPUTED_VALUE"""),"6 ±3")</f>
        <v>6 ±3</v>
      </c>
      <c r="S164" s="10" t="str">
        <f>IFERROR(__xludf.DUMMYFUNCTION("""COMPUTED_VALUE"""),"")</f>
        <v/>
      </c>
      <c r="T164" s="10" t="str">
        <f>IFERROR(__xludf.DUMMYFUNCTION("""COMPUTED_VALUE"""),"500 ±300")</f>
        <v>500 ±300</v>
      </c>
      <c r="U164" s="10" t="str">
        <f>IFERROR(__xludf.DUMMYFUNCTION("""COMPUTED_VALUE"""),"200 ±200")</f>
        <v>200 ±200</v>
      </c>
      <c r="V164" s="10" t="str">
        <f>IFERROR(__xludf.DUMMYFUNCTION("""COMPUTED_VALUE"""),"9 ±3")</f>
        <v>9 ±3</v>
      </c>
      <c r="W164" s="10">
        <f>IFERROR(__xludf.DUMMYFUNCTION("""COMPUTED_VALUE"""),53.0)</f>
        <v>53</v>
      </c>
      <c r="X164" s="10" t="str">
        <f>IFERROR(__xludf.DUMMYFUNCTION("""COMPUTED_VALUE"""),"")</f>
        <v/>
      </c>
      <c r="Y164" s="10"/>
      <c r="Z164" s="10"/>
      <c r="AA164" s="10"/>
      <c r="AB164" s="10"/>
      <c r="AC164" s="10"/>
      <c r="AD164" s="10"/>
      <c r="AE164" s="10"/>
      <c r="AF164" s="10"/>
      <c r="AG164" s="10"/>
      <c r="AH164" s="10"/>
    </row>
    <row r="165">
      <c r="A165" s="10">
        <f>IFERROR(__xludf.DUMMYFUNCTION("""COMPUTED_VALUE"""),129.0)</f>
        <v>129</v>
      </c>
      <c r="B165" s="10" t="str">
        <f>IFERROR(__xludf.DUMMYFUNCTION("""COMPUTED_VALUE"""),"Tertre Errant")</f>
        <v>Tertre Errant</v>
      </c>
      <c r="C165" s="10" t="str">
        <f>IFERROR(__xludf.DUMMYFUNCTION("""COMPUTED_VALUE"""),"Monstre")</f>
        <v>Monstre</v>
      </c>
      <c r="D165" s="10">
        <f>IFERROR(__xludf.DUMMYFUNCTION("""COMPUTED_VALUE"""),20.0)</f>
        <v>20</v>
      </c>
      <c r="E165" s="10">
        <f>IFERROR(__xludf.DUMMYFUNCTION("""COMPUTED_VALUE"""),1.0)</f>
        <v>1</v>
      </c>
      <c r="F165" s="10" t="str">
        <f>IFERROR(__xludf.DUMMYFUNCTION("""COMPUTED_VALUE"""),"Non")</f>
        <v>Non</v>
      </c>
      <c r="G165" s="10" t="str">
        <f>IFERROR(__xludf.DUMMYFUNCTION("""COMPUTED_VALUE"""),"Oui")</f>
        <v>Oui</v>
      </c>
      <c r="H165" s="10" t="str">
        <f>IFERROR(__xludf.DUMMYFUNCTION("""COMPUTED_VALUE"""),"Normale")</f>
        <v>Normale</v>
      </c>
      <c r="I165" s="10" t="str">
        <f>IFERROR(__xludf.DUMMYFUNCTION("""COMPUTED_VALUE"""),"Oui")</f>
        <v>Oui</v>
      </c>
      <c r="J165" s="10" t="str">
        <f>IFERROR(__xludf.DUMMYFUNCTION("""COMPUTED_VALUE"""),"Spore - Zone")</f>
        <v>Spore - Zone</v>
      </c>
      <c r="K165" s="10" t="str">
        <f>IFERROR(__xludf.DUMMYFUNCTION("""COMPUTED_VALUE"""),"-")</f>
        <v>-</v>
      </c>
      <c r="L165" s="10" t="str">
        <f>IFERROR(__xludf.DUMMYFUNCTION("""COMPUTED_VALUE"""),"120 ±30")</f>
        <v>120 ±30</v>
      </c>
      <c r="M165" s="10" t="str">
        <f>IFERROR(__xludf.DUMMYFUNCTION("""COMPUTED_VALUE"""),"13 ±4")</f>
        <v>13 ±4</v>
      </c>
      <c r="N165" s="10" t="str">
        <f>IFERROR(__xludf.DUMMYFUNCTION("""COMPUTED_VALUE"""),"9 ±3")</f>
        <v>9 ±3</v>
      </c>
      <c r="O165" s="10" t="str">
        <f>IFERROR(__xludf.DUMMYFUNCTION("""COMPUTED_VALUE"""),"9 ±3")</f>
        <v>9 ±3</v>
      </c>
      <c r="P165" s="10" t="str">
        <f>IFERROR(__xludf.DUMMYFUNCTION("""COMPUTED_VALUE"""),"3 ±2")</f>
        <v>3 ±2</v>
      </c>
      <c r="Q165" s="10" t="str">
        <f>IFERROR(__xludf.DUMMYFUNCTION("""COMPUTED_VALUE"""),"3 ±1")</f>
        <v>3 ±1</v>
      </c>
      <c r="R165" s="10" t="str">
        <f>IFERROR(__xludf.DUMMYFUNCTION("""COMPUTED_VALUE"""),"15 ±4")</f>
        <v>15 ±4</v>
      </c>
      <c r="S165" s="10" t="str">
        <f>IFERROR(__xludf.DUMMYFUNCTION("""COMPUTED_VALUE"""),"")</f>
        <v/>
      </c>
      <c r="T165" s="10" t="str">
        <f>IFERROR(__xludf.DUMMYFUNCTION("""COMPUTED_VALUE"""),"2000 ±500")</f>
        <v>2000 ±500</v>
      </c>
      <c r="U165" s="10" t="str">
        <f>IFERROR(__xludf.DUMMYFUNCTION("""COMPUTED_VALUE"""),"500 ±300")</f>
        <v>500 ±300</v>
      </c>
      <c r="V165" s="10" t="str">
        <f>IFERROR(__xludf.DUMMYFUNCTION("""COMPUTED_VALUE"""),"13 ±4")</f>
        <v>13 ±4</v>
      </c>
      <c r="W165" s="10">
        <f>IFERROR(__xludf.DUMMYFUNCTION("""COMPUTED_VALUE"""),59.0)</f>
        <v>59</v>
      </c>
      <c r="X165" s="10" t="str">
        <f>IFERROR(__xludf.DUMMYFUNCTION("""COMPUTED_VALUE"""),"")</f>
        <v/>
      </c>
      <c r="Y165" s="10"/>
      <c r="Z165" s="10"/>
      <c r="AA165" s="10"/>
      <c r="AB165" s="10"/>
      <c r="AC165" s="10"/>
      <c r="AD165" s="10"/>
      <c r="AE165" s="10"/>
      <c r="AF165" s="10"/>
      <c r="AG165" s="10"/>
      <c r="AH165" s="10"/>
    </row>
    <row r="166">
      <c r="A166" s="10" t="str">
        <f>IFERROR(__xludf.DUMMYFUNCTION("""COMPUTED_VALUE"""),"*Id*")</f>
        <v>*Id*</v>
      </c>
      <c r="B166" s="10" t="str">
        <f>IFERROR(__xludf.DUMMYFUNCTION("""COMPUTED_VALUE"""),"*Nom*")</f>
        <v>*Nom*</v>
      </c>
      <c r="C166" s="10" t="str">
        <f>IFERROR(__xludf.DUMMYFUNCTION("""COMPUTED_VALUE"""),"*Famille*")</f>
        <v>*Famille*</v>
      </c>
      <c r="D166" s="10" t="str">
        <f>IFERROR(__xludf.DUMMYFUNCTION("""COMPUTED_VALUE"""),"*Niv*")</f>
        <v>*Niv*</v>
      </c>
      <c r="E166" s="10" t="str">
        <f>IFERROR(__xludf.DUMMYFUNCTION("""COMPUTED_VALUE"""),"*Nb att*")</f>
        <v>*Nb att*</v>
      </c>
      <c r="F166" s="10" t="str">
        <f>IFERROR(__xludf.DUMMYFUNCTION("""COMPUTED_VALUE"""),"*Att mag*")</f>
        <v>*Att mag*</v>
      </c>
      <c r="G166" s="10" t="str">
        <f>IFERROR(__xludf.DUMMYFUNCTION("""COMPUTED_VALUE"""),"*Att dist*")</f>
        <v>*Att dist*</v>
      </c>
      <c r="H166" s="10" t="str">
        <f>IFERROR(__xludf.DUMMYFUNCTION("""COMPUTED_VALUE"""),"*Vit*")</f>
        <v>*Vit*</v>
      </c>
      <c r="I166" s="10" t="str">
        <f>IFERROR(__xludf.DUMMYFUNCTION("""COMPUTED_VALUE"""),"*VlC*")</f>
        <v>*VlC*</v>
      </c>
      <c r="J166" s="10" t="str">
        <f>IFERROR(__xludf.DUMMYFUNCTION("""COMPUTED_VALUE"""),"*Pouvoir 1*")</f>
        <v>*Pouvoir 1*</v>
      </c>
      <c r="K166" s="10" t="str">
        <f>IFERROR(__xludf.DUMMYFUNCTION("""COMPUTED_VALUE"""),"*Pouvoir 2*")</f>
        <v>*Pouvoir 2*</v>
      </c>
      <c r="L166" s="10" t="str">
        <f>IFERROR(__xludf.DUMMYFUNCTION("""COMPUTED_VALUE"""),"*PV*")</f>
        <v>*PV*</v>
      </c>
      <c r="M166" s="10" t="str">
        <f>IFERROR(__xludf.DUMMYFUNCTION("""COMPUTED_VALUE"""),"*Att*")</f>
        <v>*Att*</v>
      </c>
      <c r="N166" s="10" t="str">
        <f>IFERROR(__xludf.DUMMYFUNCTION("""COMPUTED_VALUE"""),"*Esq*")</f>
        <v>*Esq*</v>
      </c>
      <c r="O166" s="10" t="str">
        <f>IFERROR(__xludf.DUMMYFUNCTION("""COMPUTED_VALUE"""),"*Dégât*")</f>
        <v>*Dégât*</v>
      </c>
      <c r="P166" s="10" t="str">
        <f>IFERROR(__xludf.DUMMYFUNCTION("""COMPUTED_VALUE"""),"*Vue*")</f>
        <v>*Vue*</v>
      </c>
      <c r="Q166" s="10" t="str">
        <f>IFERROR(__xludf.DUMMYFUNCTION("""COMPUTED_VALUE"""),"*Régen*")</f>
        <v>*Régen*</v>
      </c>
      <c r="R166" s="10" t="str">
        <f>IFERROR(__xludf.DUMMYFUNCTION("""COMPUTED_VALUE"""),"*Arm phy*")</f>
        <v>*Arm phy*</v>
      </c>
      <c r="S166" s="10" t="str">
        <f>IFERROR(__xludf.DUMMYFUNCTION("""COMPUTED_VALUE"""),"*Arm mag*")</f>
        <v>*Arm mag*</v>
      </c>
      <c r="T166" s="10" t="str">
        <f>IFERROR(__xludf.DUMMYFUNCTION("""COMPUTED_VALUE"""),"*MM*")</f>
        <v>*MM*</v>
      </c>
      <c r="U166" s="10" t="str">
        <f>IFERROR(__xludf.DUMMYFUNCTION("""COMPUTED_VALUE"""),"*RM*")</f>
        <v>*RM*</v>
      </c>
      <c r="V166" s="10" t="str">
        <f>IFERROR(__xludf.DUMMYFUNCTION("""COMPUTED_VALUE"""),"*DLA*")</f>
        <v>*DLA*</v>
      </c>
      <c r="W166" s="10" t="str">
        <f>IFERROR(__xludf.DUMMYFUNCTION("""COMPUTED_VALUE"""),"*Echant*")</f>
        <v>*Echant*</v>
      </c>
      <c r="X166" s="10" t="str">
        <f>IFERROR(__xludf.DUMMYFUNCTION("""COMPUTED_VALUE"""),"*Vole*")</f>
        <v>*Vole*</v>
      </c>
      <c r="Y166" s="10"/>
      <c r="Z166" s="10"/>
      <c r="AA166" s="10"/>
      <c r="AB166" s="10"/>
      <c r="AC166" s="10"/>
      <c r="AD166" s="10"/>
      <c r="AE166" s="10"/>
      <c r="AF166" s="10"/>
      <c r="AG166" s="10"/>
      <c r="AH166" s="10"/>
    </row>
    <row r="167">
      <c r="A167" s="10">
        <f>IFERROR(__xludf.DUMMYFUNCTION("""COMPUTED_VALUE"""),121.0)</f>
        <v>121</v>
      </c>
      <c r="B167" s="10" t="str">
        <f>IFERROR(__xludf.DUMMYFUNCTION("""COMPUTED_VALUE"""),"Thri-kreen")</f>
        <v>Thri-kreen</v>
      </c>
      <c r="C167" s="10" t="str">
        <f>IFERROR(__xludf.DUMMYFUNCTION("""COMPUTED_VALUE"""),"Insecte")</f>
        <v>Insecte</v>
      </c>
      <c r="D167" s="10">
        <f>IFERROR(__xludf.DUMMYFUNCTION("""COMPUTED_VALUE"""),10.0)</f>
        <v>10</v>
      </c>
      <c r="E167" s="10">
        <f>IFERROR(__xludf.DUMMYFUNCTION("""COMPUTED_VALUE"""),2.0)</f>
        <v>2</v>
      </c>
      <c r="F167" s="10" t="str">
        <f>IFERROR(__xludf.DUMMYFUNCTION("""COMPUTED_VALUE"""),"")</f>
        <v/>
      </c>
      <c r="G167" s="10" t="str">
        <f>IFERROR(__xludf.DUMMYFUNCTION("""COMPUTED_VALUE"""),"Non")</f>
        <v>Non</v>
      </c>
      <c r="H167" s="10" t="str">
        <f>IFERROR(__xludf.DUMMYFUNCTION("""COMPUTED_VALUE"""),"Rapide")</f>
        <v>Rapide</v>
      </c>
      <c r="I167" s="10" t="str">
        <f>IFERROR(__xludf.DUMMYFUNCTION("""COMPUTED_VALUE"""),"Non")</f>
        <v>Non</v>
      </c>
      <c r="J167" s="10" t="str">
        <f>IFERROR(__xludf.DUMMYFUNCTION("""COMPUTED_VALUE"""),"-")</f>
        <v>-</v>
      </c>
      <c r="K167" s="10" t="str">
        <f>IFERROR(__xludf.DUMMYFUNCTION("""COMPUTED_VALUE"""),"-")</f>
        <v>-</v>
      </c>
      <c r="L167" s="10" t="str">
        <f>IFERROR(__xludf.DUMMYFUNCTION("""COMPUTED_VALUE"""),"70 ±30")</f>
        <v>70 ±30</v>
      </c>
      <c r="M167" s="10" t="str">
        <f>IFERROR(__xludf.DUMMYFUNCTION("""COMPUTED_VALUE"""),"7 ±3")</f>
        <v>7 ±3</v>
      </c>
      <c r="N167" s="10" t="str">
        <f>IFERROR(__xludf.DUMMYFUNCTION("""COMPUTED_VALUE"""),"5 ±3")</f>
        <v>5 ±3</v>
      </c>
      <c r="O167" s="10" t="str">
        <f>IFERROR(__xludf.DUMMYFUNCTION("""COMPUTED_VALUE"""),"4 ±2")</f>
        <v>4 ±2</v>
      </c>
      <c r="P167" s="10" t="str">
        <f>IFERROR(__xludf.DUMMYFUNCTION("""COMPUTED_VALUE"""),"4 ±2")</f>
        <v>4 ±2</v>
      </c>
      <c r="Q167" s="10" t="str">
        <f>IFERROR(__xludf.DUMMYFUNCTION("""COMPUTED_VALUE"""),"2 ±1")</f>
        <v>2 ±1</v>
      </c>
      <c r="R167" s="10" t="str">
        <f>IFERROR(__xludf.DUMMYFUNCTION("""COMPUTED_VALUE"""),"9 ±3")</f>
        <v>9 ±3</v>
      </c>
      <c r="S167" s="10" t="str">
        <f>IFERROR(__xludf.DUMMYFUNCTION("""COMPUTED_VALUE"""),"")</f>
        <v/>
      </c>
      <c r="T167" s="10" t="str">
        <f>IFERROR(__xludf.DUMMYFUNCTION("""COMPUTED_VALUE"""),"100 ±200")</f>
        <v>100 ±200</v>
      </c>
      <c r="U167" s="10" t="str">
        <f>IFERROR(__xludf.DUMMYFUNCTION("""COMPUTED_VALUE"""),"100 ±100")</f>
        <v>100 ±100</v>
      </c>
      <c r="V167" s="10" t="str">
        <f>IFERROR(__xludf.DUMMYFUNCTION("""COMPUTED_VALUE"""),"10 ±4")</f>
        <v>10 ±4</v>
      </c>
      <c r="W167" s="10">
        <f>IFERROR(__xludf.DUMMYFUNCTION("""COMPUTED_VALUE"""),30.0)</f>
        <v>30</v>
      </c>
      <c r="X167" s="10" t="str">
        <f>IFERROR(__xludf.DUMMYFUNCTION("""COMPUTED_VALUE"""),"")</f>
        <v/>
      </c>
      <c r="Y167" s="10"/>
      <c r="Z167" s="10"/>
      <c r="AA167" s="10"/>
      <c r="AB167" s="10"/>
      <c r="AC167" s="10"/>
      <c r="AD167" s="10"/>
      <c r="AE167" s="10"/>
      <c r="AF167" s="10"/>
      <c r="AG167" s="10"/>
      <c r="AH167" s="10"/>
    </row>
    <row r="168">
      <c r="A168" s="10">
        <f>IFERROR(__xludf.DUMMYFUNCTION("""COMPUTED_VALUE"""),116.0)</f>
        <v>116</v>
      </c>
      <c r="B168" s="10" t="str">
        <f>IFERROR(__xludf.DUMMYFUNCTION("""COMPUTED_VALUE"""),"Tigre-Garou")</f>
        <v>Tigre-Garou</v>
      </c>
      <c r="C168" s="10" t="str">
        <f>IFERROR(__xludf.DUMMYFUNCTION("""COMPUTED_VALUE"""),"Humanoïde")</f>
        <v>Humanoïde</v>
      </c>
      <c r="D168" s="10">
        <f>IFERROR(__xludf.DUMMYFUNCTION("""COMPUTED_VALUE"""),12.0)</f>
        <v>12</v>
      </c>
      <c r="E168" s="10">
        <f>IFERROR(__xludf.DUMMYFUNCTION("""COMPUTED_VALUE"""),1.0)</f>
        <v>1</v>
      </c>
      <c r="F168" s="10" t="str">
        <f>IFERROR(__xludf.DUMMYFUNCTION("""COMPUTED_VALUE"""),"")</f>
        <v/>
      </c>
      <c r="G168" s="10" t="str">
        <f>IFERROR(__xludf.DUMMYFUNCTION("""COMPUTED_VALUE"""),"Non")</f>
        <v>Non</v>
      </c>
      <c r="H168" s="10" t="str">
        <f>IFERROR(__xludf.DUMMYFUNCTION("""COMPUTED_VALUE"""),"Normale")</f>
        <v>Normale</v>
      </c>
      <c r="I168" s="10" t="str">
        <f>IFERROR(__xludf.DUMMYFUNCTION("""COMPUTED_VALUE"""),"Non")</f>
        <v>Non</v>
      </c>
      <c r="J168" s="10" t="str">
        <f>IFERROR(__xludf.DUMMYFUNCTION("""COMPUTED_VALUE"""),"-")</f>
        <v>-</v>
      </c>
      <c r="K168" s="10" t="str">
        <f>IFERROR(__xludf.DUMMYFUNCTION("""COMPUTED_VALUE"""),"-")</f>
        <v>-</v>
      </c>
      <c r="L168" s="10" t="str">
        <f>IFERROR(__xludf.DUMMYFUNCTION("""COMPUTED_VALUE"""),"70 ±30")</f>
        <v>70 ±30</v>
      </c>
      <c r="M168" s="10" t="str">
        <f>IFERROR(__xludf.DUMMYFUNCTION("""COMPUTED_VALUE"""),"5 ±3")</f>
        <v>5 ±3</v>
      </c>
      <c r="N168" s="10" t="str">
        <f>IFERROR(__xludf.DUMMYFUNCTION("""COMPUTED_VALUE"""),"7 ±3")</f>
        <v>7 ±3</v>
      </c>
      <c r="O168" s="10" t="str">
        <f>IFERROR(__xludf.DUMMYFUNCTION("""COMPUTED_VALUE"""),"7 ±3")</f>
        <v>7 ±3</v>
      </c>
      <c r="P168" s="10" t="str">
        <f>IFERROR(__xludf.DUMMYFUNCTION("""COMPUTED_VALUE"""),"3 ±2")</f>
        <v>3 ±2</v>
      </c>
      <c r="Q168" s="10" t="str">
        <f>IFERROR(__xludf.DUMMYFUNCTION("""COMPUTED_VALUE"""),"5 ±2")</f>
        <v>5 ±2</v>
      </c>
      <c r="R168" s="10" t="str">
        <f>IFERROR(__xludf.DUMMYFUNCTION("""COMPUTED_VALUE"""),"3 ±2")</f>
        <v>3 ±2</v>
      </c>
      <c r="S168" s="10" t="str">
        <f>IFERROR(__xludf.DUMMYFUNCTION("""COMPUTED_VALUE"""),"")</f>
        <v/>
      </c>
      <c r="T168" s="10" t="str">
        <f>IFERROR(__xludf.DUMMYFUNCTION("""COMPUTED_VALUE"""),"100 ±200")</f>
        <v>100 ±200</v>
      </c>
      <c r="U168" s="10" t="str">
        <f>IFERROR(__xludf.DUMMYFUNCTION("""COMPUTED_VALUE"""),"300 ±200")</f>
        <v>300 ±200</v>
      </c>
      <c r="V168" s="10" t="str">
        <f>IFERROR(__xludf.DUMMYFUNCTION("""COMPUTED_VALUE"""),"11 ±4")</f>
        <v>11 ±4</v>
      </c>
      <c r="W168" s="10">
        <f>IFERROR(__xludf.DUMMYFUNCTION("""COMPUTED_VALUE"""),38.0)</f>
        <v>38</v>
      </c>
      <c r="X168" s="10" t="str">
        <f>IFERROR(__xludf.DUMMYFUNCTION("""COMPUTED_VALUE"""),"")</f>
        <v/>
      </c>
      <c r="Y168" s="10"/>
      <c r="Z168" s="10"/>
      <c r="AA168" s="10"/>
      <c r="AB168" s="10"/>
      <c r="AC168" s="10"/>
      <c r="AD168" s="10"/>
      <c r="AE168" s="10"/>
      <c r="AF168" s="10"/>
      <c r="AG168" s="10"/>
      <c r="AH168" s="10"/>
    </row>
    <row r="169">
      <c r="A169" s="10">
        <f>IFERROR(__xludf.DUMMYFUNCTION("""COMPUTED_VALUE"""),122.0)</f>
        <v>122</v>
      </c>
      <c r="B169" s="10" t="str">
        <f>IFERROR(__xludf.DUMMYFUNCTION("""COMPUTED_VALUE"""),"Titan")</f>
        <v>Titan</v>
      </c>
      <c r="C169" s="10" t="str">
        <f>IFERROR(__xludf.DUMMYFUNCTION("""COMPUTED_VALUE"""),"Humanoïde")</f>
        <v>Humanoïde</v>
      </c>
      <c r="D169" s="10">
        <f>IFERROR(__xludf.DUMMYFUNCTION("""COMPUTED_VALUE"""),26.0)</f>
        <v>26</v>
      </c>
      <c r="E169" s="10">
        <f>IFERROR(__xludf.DUMMYFUNCTION("""COMPUTED_VALUE"""),1.0)</f>
        <v>1</v>
      </c>
      <c r="F169" s="10" t="str">
        <f>IFERROR(__xludf.DUMMYFUNCTION("""COMPUTED_VALUE"""),"Non")</f>
        <v>Non</v>
      </c>
      <c r="G169" s="10" t="str">
        <f>IFERROR(__xludf.DUMMYFUNCTION("""COMPUTED_VALUE"""),"Non")</f>
        <v>Non</v>
      </c>
      <c r="H169" s="10" t="str">
        <f>IFERROR(__xludf.DUMMYFUNCTION("""COMPUTED_VALUE"""),"Rapide")</f>
        <v>Rapide</v>
      </c>
      <c r="I169" s="10" t="str">
        <f>IFERROR(__xludf.DUMMYFUNCTION("""COMPUTED_VALUE"""),"Non")</f>
        <v>Non</v>
      </c>
      <c r="J169" s="10" t="str">
        <f>IFERROR(__xludf.DUMMYFUNCTION("""COMPUTED_VALUE"""),"-")</f>
        <v>-</v>
      </c>
      <c r="K169" s="10" t="str">
        <f>IFERROR(__xludf.DUMMYFUNCTION("""COMPUTED_VALUE"""),"-")</f>
        <v>-</v>
      </c>
      <c r="L169" s="10" t="str">
        <f>IFERROR(__xludf.DUMMYFUNCTION("""COMPUTED_VALUE"""),"150 ±40")</f>
        <v>150 ±40</v>
      </c>
      <c r="M169" s="10" t="str">
        <f>IFERROR(__xludf.DUMMYFUNCTION("""COMPUTED_VALUE"""),"18 ±4")</f>
        <v>18 ±4</v>
      </c>
      <c r="N169" s="10" t="str">
        <f>IFERROR(__xludf.DUMMYFUNCTION("""COMPUTED_VALUE"""),"7 ±3")</f>
        <v>7 ±3</v>
      </c>
      <c r="O169" s="10" t="str">
        <f>IFERROR(__xludf.DUMMYFUNCTION("""COMPUTED_VALUE"""),"11 ±4")</f>
        <v>11 ±4</v>
      </c>
      <c r="P169" s="10" t="str">
        <f>IFERROR(__xludf.DUMMYFUNCTION("""COMPUTED_VALUE"""),"4 ±2")</f>
        <v>4 ±2</v>
      </c>
      <c r="Q169" s="10" t="str">
        <f>IFERROR(__xludf.DUMMYFUNCTION("""COMPUTED_VALUE"""),"4 ±1")</f>
        <v>4 ±1</v>
      </c>
      <c r="R169" s="10" t="str">
        <f>IFERROR(__xludf.DUMMYFUNCTION("""COMPUTED_VALUE"""),"11 ±3")</f>
        <v>11 ±3</v>
      </c>
      <c r="S169" s="10" t="str">
        <f>IFERROR(__xludf.DUMMYFUNCTION("""COMPUTED_VALUE"""),"")</f>
        <v/>
      </c>
      <c r="T169" s="10" t="str">
        <f>IFERROR(__xludf.DUMMYFUNCTION("""COMPUTED_VALUE"""),"0 ±200")</f>
        <v>0 ±200</v>
      </c>
      <c r="U169" s="10" t="str">
        <f>IFERROR(__xludf.DUMMYFUNCTION("""COMPUTED_VALUE"""),"1900 ±600")</f>
        <v>1900 ±600</v>
      </c>
      <c r="V169" s="10" t="str">
        <f>IFERROR(__xludf.DUMMYFUNCTION("""COMPUTED_VALUE"""),"12 ±3")</f>
        <v>12 ±3</v>
      </c>
      <c r="W169" s="10">
        <f>IFERROR(__xludf.DUMMYFUNCTION("""COMPUTED_VALUE"""),117.0)</f>
        <v>117</v>
      </c>
      <c r="X169" s="10" t="str">
        <f>IFERROR(__xludf.DUMMYFUNCTION("""COMPUTED_VALUE"""),"")</f>
        <v/>
      </c>
      <c r="Y169" s="10"/>
      <c r="Z169" s="10"/>
      <c r="AA169" s="10"/>
      <c r="AB169" s="10"/>
      <c r="AC169" s="10"/>
      <c r="AD169" s="10"/>
      <c r="AE169" s="10"/>
      <c r="AF169" s="10"/>
      <c r="AG169" s="10"/>
      <c r="AH169" s="10"/>
    </row>
    <row r="170">
      <c r="A170" s="10">
        <f>IFERROR(__xludf.DUMMYFUNCTION("""COMPUTED_VALUE"""),168.0)</f>
        <v>168</v>
      </c>
      <c r="B170" s="10" t="str">
        <f>IFERROR(__xludf.DUMMYFUNCTION("""COMPUTED_VALUE"""),"Trancheur")</f>
        <v>Trancheur</v>
      </c>
      <c r="C170" s="10" t="str">
        <f>IFERROR(__xludf.DUMMYFUNCTION("""COMPUTED_VALUE"""),"Monstre")</f>
        <v>Monstre</v>
      </c>
      <c r="D170" s="10">
        <f>IFERROR(__xludf.DUMMYFUNCTION("""COMPUTED_VALUE"""),35.0)</f>
        <v>35</v>
      </c>
      <c r="E170" s="10">
        <f>IFERROR(__xludf.DUMMYFUNCTION("""COMPUTED_VALUE"""),2.0)</f>
        <v>2</v>
      </c>
      <c r="F170" s="10" t="str">
        <f>IFERROR(__xludf.DUMMYFUNCTION("""COMPUTED_VALUE"""),"Non")</f>
        <v>Non</v>
      </c>
      <c r="G170" s="10" t="str">
        <f>IFERROR(__xludf.DUMMYFUNCTION("""COMPUTED_VALUE"""),"Non")</f>
        <v>Non</v>
      </c>
      <c r="H170" s="10" t="str">
        <f>IFERROR(__xludf.DUMMYFUNCTION("""COMPUTED_VALUE"""),"Normale")</f>
        <v>Normale</v>
      </c>
      <c r="I170" s="10" t="str">
        <f>IFERROR(__xludf.DUMMYFUNCTION("""COMPUTED_VALUE"""),"Non")</f>
        <v>Non</v>
      </c>
      <c r="J170" s="10" t="str">
        <f>IFERROR(__xludf.DUMMYFUNCTION("""COMPUTED_VALUE"""),"Coup perforant - Toucher")</f>
        <v>Coup perforant - Toucher</v>
      </c>
      <c r="K170" s="10" t="str">
        <f>IFERROR(__xludf.DUMMYFUNCTION("""COMPUTED_VALUE"""),"-")</f>
        <v>-</v>
      </c>
      <c r="L170" s="10" t="str">
        <f>IFERROR(__xludf.DUMMYFUNCTION("""COMPUTED_VALUE"""),"75 ±30")</f>
        <v>75 ±30</v>
      </c>
      <c r="M170" s="10" t="str">
        <f>IFERROR(__xludf.DUMMYFUNCTION("""COMPUTED_VALUE"""),"15 ±4")</f>
        <v>15 ±4</v>
      </c>
      <c r="N170" s="10" t="str">
        <f>IFERROR(__xludf.DUMMYFUNCTION("""COMPUTED_VALUE"""),"10 ±3")</f>
        <v>10 ±3</v>
      </c>
      <c r="O170" s="10" t="str">
        <f>IFERROR(__xludf.DUMMYFUNCTION("""COMPUTED_VALUE"""),"15 ±4")</f>
        <v>15 ±4</v>
      </c>
      <c r="P170" s="10" t="str">
        <f>IFERROR(__xludf.DUMMYFUNCTION("""COMPUTED_VALUE"""),"6 ±3")</f>
        <v>6 ±3</v>
      </c>
      <c r="Q170" s="10" t="str">
        <f>IFERROR(__xludf.DUMMYFUNCTION("""COMPUTED_VALUE"""),"3 ±1")</f>
        <v>3 ±1</v>
      </c>
      <c r="R170" s="10" t="str">
        <f>IFERROR(__xludf.DUMMYFUNCTION("""COMPUTED_VALUE"""),"10 ±3")</f>
        <v>10 ±3</v>
      </c>
      <c r="S170" s="10" t="str">
        <f>IFERROR(__xludf.DUMMYFUNCTION("""COMPUTED_VALUE"""),"")</f>
        <v/>
      </c>
      <c r="T170" s="10" t="str">
        <f>IFERROR(__xludf.DUMMYFUNCTION("""COMPUTED_VALUE"""),"600 ±300")</f>
        <v>600 ±300</v>
      </c>
      <c r="U170" s="10" t="str">
        <f>IFERROR(__xludf.DUMMYFUNCTION("""COMPUTED_VALUE"""),"2600 ±700")</f>
        <v>2600 ±700</v>
      </c>
      <c r="V170" s="10" t="str">
        <f>IFERROR(__xludf.DUMMYFUNCTION("""COMPUTED_VALUE"""),"7 ±3")</f>
        <v>7 ±3</v>
      </c>
      <c r="W170" s="10">
        <f>IFERROR(__xludf.DUMMYFUNCTION("""COMPUTED_VALUE"""),117.0)</f>
        <v>117</v>
      </c>
      <c r="X170" s="10" t="str">
        <f>IFERROR(__xludf.DUMMYFUNCTION("""COMPUTED_VALUE"""),"")</f>
        <v/>
      </c>
      <c r="Y170" s="10"/>
      <c r="Z170" s="10"/>
      <c r="AA170" s="10"/>
      <c r="AB170" s="10"/>
      <c r="AC170" s="10"/>
      <c r="AD170" s="10"/>
      <c r="AE170" s="10"/>
      <c r="AF170" s="10"/>
      <c r="AG170" s="10"/>
      <c r="AH170" s="10"/>
    </row>
    <row r="171">
      <c r="A171" s="10">
        <f>IFERROR(__xludf.DUMMYFUNCTION("""COMPUTED_VALUE"""),196.0)</f>
        <v>196</v>
      </c>
      <c r="B171" s="10" t="str">
        <f>IFERROR(__xludf.DUMMYFUNCTION("""COMPUTED_VALUE"""),"Tubercule Tueur")</f>
        <v>Tubercule Tueur</v>
      </c>
      <c r="C171" s="10" t="str">
        <f>IFERROR(__xludf.DUMMYFUNCTION("""COMPUTED_VALUE"""),"Animal")</f>
        <v>Animal</v>
      </c>
      <c r="D171" s="10">
        <f>IFERROR(__xludf.DUMMYFUNCTION("""COMPUTED_VALUE"""),14.0)</f>
        <v>14</v>
      </c>
      <c r="E171" s="10">
        <f>IFERROR(__xludf.DUMMYFUNCTION("""COMPUTED_VALUE"""),2.0)</f>
        <v>2</v>
      </c>
      <c r="F171" s="10" t="str">
        <f>IFERROR(__xludf.DUMMYFUNCTION("""COMPUTED_VALUE"""),"")</f>
        <v/>
      </c>
      <c r="G171" s="10" t="str">
        <f>IFERROR(__xludf.DUMMYFUNCTION("""COMPUTED_VALUE"""),"Oui")</f>
        <v>Oui</v>
      </c>
      <c r="H171" s="10" t="str">
        <f>IFERROR(__xludf.DUMMYFUNCTION("""COMPUTED_VALUE"""),"Lente")</f>
        <v>Lente</v>
      </c>
      <c r="I171" s="10" t="str">
        <f>IFERROR(__xludf.DUMMYFUNCTION("""COMPUTED_VALUE"""),"Oui")</f>
        <v>Oui</v>
      </c>
      <c r="J171" s="10" t="str">
        <f>IFERROR(__xludf.DUMMYFUNCTION("""COMPUTED_VALUE"""),"-")</f>
        <v>-</v>
      </c>
      <c r="K171" s="10" t="str">
        <f>IFERROR(__xludf.DUMMYFUNCTION("""COMPUTED_VALUE"""),"-")</f>
        <v>-</v>
      </c>
      <c r="L171" s="10" t="str">
        <f>IFERROR(__xludf.DUMMYFUNCTION("""COMPUTED_VALUE"""),"65 ±30")</f>
        <v>65 ±30</v>
      </c>
      <c r="M171" s="10" t="str">
        <f>IFERROR(__xludf.DUMMYFUNCTION("""COMPUTED_VALUE"""),"9 ±3")</f>
        <v>9 ±3</v>
      </c>
      <c r="N171" s="10" t="str">
        <f>IFERROR(__xludf.DUMMYFUNCTION("""COMPUTED_VALUE"""),"4 ±3")</f>
        <v>4 ±3</v>
      </c>
      <c r="O171" s="10" t="str">
        <f>IFERROR(__xludf.DUMMYFUNCTION("""COMPUTED_VALUE"""),"8 ±3")</f>
        <v>8 ±3</v>
      </c>
      <c r="P171" s="10" t="str">
        <f>IFERROR(__xludf.DUMMYFUNCTION("""COMPUTED_VALUE"""),"8 ±3")</f>
        <v>8 ±3</v>
      </c>
      <c r="Q171" s="10" t="str">
        <f>IFERROR(__xludf.DUMMYFUNCTION("""COMPUTED_VALUE"""),"3 ±1")</f>
        <v>3 ±1</v>
      </c>
      <c r="R171" s="10" t="str">
        <f>IFERROR(__xludf.DUMMYFUNCTION("""COMPUTED_VALUE"""),"1 ±1")</f>
        <v>1 ±1</v>
      </c>
      <c r="S171" s="10" t="str">
        <f>IFERROR(__xludf.DUMMYFUNCTION("""COMPUTED_VALUE"""),"")</f>
        <v/>
      </c>
      <c r="T171" s="10" t="str">
        <f>IFERROR(__xludf.DUMMYFUNCTION("""COMPUTED_VALUE"""),"300 ±300")</f>
        <v>300 ±300</v>
      </c>
      <c r="U171" s="10" t="str">
        <f>IFERROR(__xludf.DUMMYFUNCTION("""COMPUTED_VALUE"""),"600 ±300")</f>
        <v>600 ±300</v>
      </c>
      <c r="V171" s="10" t="str">
        <f>IFERROR(__xludf.DUMMYFUNCTION("""COMPUTED_VALUE"""),"11 ±4")</f>
        <v>11 ±4</v>
      </c>
      <c r="W171" s="10">
        <f>IFERROR(__xludf.DUMMYFUNCTION("""COMPUTED_VALUE"""),24.0)</f>
        <v>24</v>
      </c>
      <c r="X171" s="10" t="str">
        <f>IFERROR(__xludf.DUMMYFUNCTION("""COMPUTED_VALUE"""),"")</f>
        <v/>
      </c>
      <c r="Y171" s="10"/>
      <c r="Z171" s="10"/>
      <c r="AA171" s="10"/>
      <c r="AB171" s="10"/>
      <c r="AC171" s="10"/>
      <c r="AD171" s="10"/>
      <c r="AE171" s="10"/>
      <c r="AF171" s="10"/>
      <c r="AG171" s="10"/>
      <c r="AH171" s="10"/>
    </row>
    <row r="172">
      <c r="A172" s="10">
        <f>IFERROR(__xludf.DUMMYFUNCTION("""COMPUTED_VALUE"""),107.0)</f>
        <v>107</v>
      </c>
      <c r="B172" s="10" t="str">
        <f>IFERROR(__xludf.DUMMYFUNCTION("""COMPUTED_VALUE"""),"Tutoki")</f>
        <v>Tutoki</v>
      </c>
      <c r="C172" s="10" t="str">
        <f>IFERROR(__xludf.DUMMYFUNCTION("""COMPUTED_VALUE"""),"Monstre")</f>
        <v>Monstre</v>
      </c>
      <c r="D172" s="10">
        <f>IFERROR(__xludf.DUMMYFUNCTION("""COMPUTED_VALUE"""),4.0)</f>
        <v>4</v>
      </c>
      <c r="E172" s="10">
        <f>IFERROR(__xludf.DUMMYFUNCTION("""COMPUTED_VALUE"""),1.0)</f>
        <v>1</v>
      </c>
      <c r="F172" s="10" t="str">
        <f>IFERROR(__xludf.DUMMYFUNCTION("""COMPUTED_VALUE"""),"Non")</f>
        <v>Non</v>
      </c>
      <c r="G172" s="10" t="str">
        <f>IFERROR(__xludf.DUMMYFUNCTION("""COMPUTED_VALUE"""),"Non")</f>
        <v>Non</v>
      </c>
      <c r="H172" s="10" t="str">
        <f>IFERROR(__xludf.DUMMYFUNCTION("""COMPUTED_VALUE"""),"Rapide")</f>
        <v>Rapide</v>
      </c>
      <c r="I172" s="10" t="str">
        <f>IFERROR(__xludf.DUMMYFUNCTION("""COMPUTED_VALUE"""),"Non")</f>
        <v>Non</v>
      </c>
      <c r="J172" s="10" t="str">
        <f>IFERROR(__xludf.DUMMYFUNCTION("""COMPUTED_VALUE"""),"Constriction - Toucher")</f>
        <v>Constriction - Toucher</v>
      </c>
      <c r="K172" s="10" t="str">
        <f>IFERROR(__xludf.DUMMYFUNCTION("""COMPUTED_VALUE"""),"-")</f>
        <v>-</v>
      </c>
      <c r="L172" s="10" t="str">
        <f>IFERROR(__xludf.DUMMYFUNCTION("""COMPUTED_VALUE"""),"25 ±25")</f>
        <v>25 ±25</v>
      </c>
      <c r="M172" s="10" t="str">
        <f>IFERROR(__xludf.DUMMYFUNCTION("""COMPUTED_VALUE"""),"3 |±3")</f>
        <v>3 |±3</v>
      </c>
      <c r="N172" s="10" t="str">
        <f>IFERROR(__xludf.DUMMYFUNCTION("""COMPUTED_VALUE"""),"2 ±2")</f>
        <v>2 ±2</v>
      </c>
      <c r="O172" s="10" t="str">
        <f>IFERROR(__xludf.DUMMYFUNCTION("""COMPUTED_VALUE"""),"3 ±3")</f>
        <v>3 ±3</v>
      </c>
      <c r="P172" s="10" t="str">
        <f>IFERROR(__xludf.DUMMYFUNCTION("""COMPUTED_VALUE"""),"3 ±2")</f>
        <v>3 ±2</v>
      </c>
      <c r="Q172" s="10" t="str">
        <f>IFERROR(__xludf.DUMMYFUNCTION("""COMPUTED_VALUE"""),"1 ±1")</f>
        <v>1 ±1</v>
      </c>
      <c r="R172" s="10" t="str">
        <f>IFERROR(__xludf.DUMMYFUNCTION("""COMPUTED_VALUE"""),"1 ±2")</f>
        <v>1 ±2</v>
      </c>
      <c r="S172" s="10" t="str">
        <f>IFERROR(__xludf.DUMMYFUNCTION("""COMPUTED_VALUE"""),"")</f>
        <v/>
      </c>
      <c r="T172" s="10" t="str">
        <f>IFERROR(__xludf.DUMMYFUNCTION("""COMPUTED_VALUE"""),"100 ±0")</f>
        <v>100 ±0</v>
      </c>
      <c r="U172" s="10" t="str">
        <f>IFERROR(__xludf.DUMMYFUNCTION("""COMPUTED_VALUE"""),"200 ±200")</f>
        <v>200 ±200</v>
      </c>
      <c r="V172" s="10" t="str">
        <f>IFERROR(__xludf.DUMMYFUNCTION("""COMPUTED_VALUE"""),"11 ±3")</f>
        <v>11 ±3</v>
      </c>
      <c r="W172" s="10">
        <f>IFERROR(__xludf.DUMMYFUNCTION("""COMPUTED_VALUE"""),16.0)</f>
        <v>16</v>
      </c>
      <c r="X172" s="10" t="str">
        <f>IFERROR(__xludf.DUMMYFUNCTION("""COMPUTED_VALUE"""),"")</f>
        <v/>
      </c>
      <c r="Y172" s="10"/>
      <c r="Z172" s="10"/>
      <c r="AA172" s="10"/>
      <c r="AB172" s="10"/>
      <c r="AC172" s="10"/>
      <c r="AD172" s="10"/>
      <c r="AE172" s="10"/>
      <c r="AF172" s="10"/>
      <c r="AG172" s="10"/>
      <c r="AH172" s="10"/>
    </row>
    <row r="173">
      <c r="A173" s="10">
        <f>IFERROR(__xludf.DUMMYFUNCTION("""COMPUTED_VALUE"""),69.0)</f>
        <v>69</v>
      </c>
      <c r="B173" s="10" t="str">
        <f>IFERROR(__xludf.DUMMYFUNCTION("""COMPUTED_VALUE"""),"Vampire")</f>
        <v>Vampire</v>
      </c>
      <c r="C173" s="10" t="str">
        <f>IFERROR(__xludf.DUMMYFUNCTION("""COMPUTED_VALUE"""),"Mort-Vivant")</f>
        <v>Mort-Vivant</v>
      </c>
      <c r="D173" s="10">
        <f>IFERROR(__xludf.DUMMYFUNCTION("""COMPUTED_VALUE"""),29.0)</f>
        <v>29</v>
      </c>
      <c r="E173" s="10">
        <f>IFERROR(__xludf.DUMMYFUNCTION("""COMPUTED_VALUE"""),1.0)</f>
        <v>1</v>
      </c>
      <c r="F173" s="10" t="str">
        <f>IFERROR(__xludf.DUMMYFUNCTION("""COMPUTED_VALUE"""),"Oui")</f>
        <v>Oui</v>
      </c>
      <c r="G173" s="10" t="str">
        <f>IFERROR(__xludf.DUMMYFUNCTION("""COMPUTED_VALUE"""),"Non")</f>
        <v>Non</v>
      </c>
      <c r="H173" s="10" t="str">
        <f>IFERROR(__xludf.DUMMYFUNCTION("""COMPUTED_VALUE"""),"Normale")</f>
        <v>Normale</v>
      </c>
      <c r="I173" s="10" t="str">
        <f>IFERROR(__xludf.DUMMYFUNCTION("""COMPUTED_VALUE"""),"Oui")</f>
        <v>Oui</v>
      </c>
      <c r="J173" s="10" t="str">
        <f>IFERROR(__xludf.DUMMYFUNCTION("""COMPUTED_VALUE"""),"Attaque affaiblissante - Zone (1)")</f>
        <v>Attaque affaiblissante - Zone (1)</v>
      </c>
      <c r="K173" s="10" t="str">
        <f>IFERROR(__xludf.DUMMYFUNCTION("""COMPUTED_VALUE"""),"-")</f>
        <v>-</v>
      </c>
      <c r="L173" s="10" t="str">
        <f>IFERROR(__xludf.DUMMYFUNCTION("""COMPUTED_VALUE"""),"135 ±35")</f>
        <v>135 ±35</v>
      </c>
      <c r="M173" s="10" t="str">
        <f>IFERROR(__xludf.DUMMYFUNCTION("""COMPUTED_VALUE"""),"13 ±4")</f>
        <v>13 ±4</v>
      </c>
      <c r="N173" s="10" t="str">
        <f>IFERROR(__xludf.DUMMYFUNCTION("""COMPUTED_VALUE"""),"13 ±4")</f>
        <v>13 ±4</v>
      </c>
      <c r="O173" s="10" t="str">
        <f>IFERROR(__xludf.DUMMYFUNCTION("""COMPUTED_VALUE"""),"13 ±4")</f>
        <v>13 ±4</v>
      </c>
      <c r="P173" s="10" t="str">
        <f>IFERROR(__xludf.DUMMYFUNCTION("""COMPUTED_VALUE"""),"5 ±3")</f>
        <v>5 ±3</v>
      </c>
      <c r="Q173" s="10" t="str">
        <f>IFERROR(__xludf.DUMMYFUNCTION("""COMPUTED_VALUE"""),"7±2")</f>
        <v>7±2</v>
      </c>
      <c r="R173" s="10" t="str">
        <f>IFERROR(__xludf.DUMMYFUNCTION("""COMPUTED_VALUE"""),"5 ±3")</f>
        <v>5 ±3</v>
      </c>
      <c r="S173" s="10" t="str">
        <f>IFERROR(__xludf.DUMMYFUNCTION("""COMPUTED_VALUE"""),"")</f>
        <v/>
      </c>
      <c r="T173" s="10" t="str">
        <f>IFERROR(__xludf.DUMMYFUNCTION("""COMPUTED_VALUE"""),"3900 ±300")</f>
        <v>3900 ±300</v>
      </c>
      <c r="U173" s="10" t="str">
        <f>IFERROR(__xludf.DUMMYFUNCTION("""COMPUTED_VALUE"""),"600 ±300")</f>
        <v>600 ±300</v>
      </c>
      <c r="V173" s="10" t="str">
        <f>IFERROR(__xludf.DUMMYFUNCTION("""COMPUTED_VALUE"""),"12 ±4")</f>
        <v>12 ±4</v>
      </c>
      <c r="W173" s="10">
        <f>IFERROR(__xludf.DUMMYFUNCTION("""COMPUTED_VALUE"""),106.0)</f>
        <v>106</v>
      </c>
      <c r="X173" s="10" t="str">
        <f>IFERROR(__xludf.DUMMYFUNCTION("""COMPUTED_VALUE"""),"")</f>
        <v/>
      </c>
      <c r="Y173" s="10"/>
      <c r="Z173" s="10"/>
      <c r="AA173" s="10"/>
      <c r="AB173" s="10"/>
      <c r="AC173" s="10"/>
      <c r="AD173" s="10"/>
      <c r="AE173" s="10"/>
      <c r="AF173" s="10"/>
      <c r="AG173" s="10"/>
      <c r="AH173" s="10"/>
    </row>
    <row r="174">
      <c r="A174" s="10" t="str">
        <f>IFERROR(__xludf.DUMMYFUNCTION("""COMPUTED_VALUE"""),"*Id*")</f>
        <v>*Id*</v>
      </c>
      <c r="B174" s="10" t="str">
        <f>IFERROR(__xludf.DUMMYFUNCTION("""COMPUTED_VALUE"""),"*Nom*")</f>
        <v>*Nom*</v>
      </c>
      <c r="C174" s="10" t="str">
        <f>IFERROR(__xludf.DUMMYFUNCTION("""COMPUTED_VALUE"""),"*Famille*")</f>
        <v>*Famille*</v>
      </c>
      <c r="D174" s="10" t="str">
        <f>IFERROR(__xludf.DUMMYFUNCTION("""COMPUTED_VALUE"""),"*Niv*")</f>
        <v>*Niv*</v>
      </c>
      <c r="E174" s="10" t="str">
        <f>IFERROR(__xludf.DUMMYFUNCTION("""COMPUTED_VALUE"""),"*Nb att*")</f>
        <v>*Nb att*</v>
      </c>
      <c r="F174" s="10" t="str">
        <f>IFERROR(__xludf.DUMMYFUNCTION("""COMPUTED_VALUE"""),"*Att mag*")</f>
        <v>*Att mag*</v>
      </c>
      <c r="G174" s="10" t="str">
        <f>IFERROR(__xludf.DUMMYFUNCTION("""COMPUTED_VALUE"""),"*Att dist*")</f>
        <v>*Att dist*</v>
      </c>
      <c r="H174" s="10" t="str">
        <f>IFERROR(__xludf.DUMMYFUNCTION("""COMPUTED_VALUE"""),"*Vit*")</f>
        <v>*Vit*</v>
      </c>
      <c r="I174" s="10" t="str">
        <f>IFERROR(__xludf.DUMMYFUNCTION("""COMPUTED_VALUE"""),"*VlC*")</f>
        <v>*VlC*</v>
      </c>
      <c r="J174" s="10" t="str">
        <f>IFERROR(__xludf.DUMMYFUNCTION("""COMPUTED_VALUE"""),"*Pouvoir 1*")</f>
        <v>*Pouvoir 1*</v>
      </c>
      <c r="K174" s="10" t="str">
        <f>IFERROR(__xludf.DUMMYFUNCTION("""COMPUTED_VALUE"""),"*Pouvoir 2*")</f>
        <v>*Pouvoir 2*</v>
      </c>
      <c r="L174" s="10" t="str">
        <f>IFERROR(__xludf.DUMMYFUNCTION("""COMPUTED_VALUE"""),"*PV*")</f>
        <v>*PV*</v>
      </c>
      <c r="M174" s="10" t="str">
        <f>IFERROR(__xludf.DUMMYFUNCTION("""COMPUTED_VALUE"""),"*Att*")</f>
        <v>*Att*</v>
      </c>
      <c r="N174" s="10" t="str">
        <f>IFERROR(__xludf.DUMMYFUNCTION("""COMPUTED_VALUE"""),"*Esq*")</f>
        <v>*Esq*</v>
      </c>
      <c r="O174" s="10" t="str">
        <f>IFERROR(__xludf.DUMMYFUNCTION("""COMPUTED_VALUE"""),"*Dégât*")</f>
        <v>*Dégât*</v>
      </c>
      <c r="P174" s="10" t="str">
        <f>IFERROR(__xludf.DUMMYFUNCTION("""COMPUTED_VALUE"""),"*Vue*")</f>
        <v>*Vue*</v>
      </c>
      <c r="Q174" s="10" t="str">
        <f>IFERROR(__xludf.DUMMYFUNCTION("""COMPUTED_VALUE"""),"*Régen*")</f>
        <v>*Régen*</v>
      </c>
      <c r="R174" s="10" t="str">
        <f>IFERROR(__xludf.DUMMYFUNCTION("""COMPUTED_VALUE"""),"*Arm phy*")</f>
        <v>*Arm phy*</v>
      </c>
      <c r="S174" s="10" t="str">
        <f>IFERROR(__xludf.DUMMYFUNCTION("""COMPUTED_VALUE"""),"*Arm mag*")</f>
        <v>*Arm mag*</v>
      </c>
      <c r="T174" s="10" t="str">
        <f>IFERROR(__xludf.DUMMYFUNCTION("""COMPUTED_VALUE"""),"*MM*")</f>
        <v>*MM*</v>
      </c>
      <c r="U174" s="10" t="str">
        <f>IFERROR(__xludf.DUMMYFUNCTION("""COMPUTED_VALUE"""),"*RM*")</f>
        <v>*RM*</v>
      </c>
      <c r="V174" s="10" t="str">
        <f>IFERROR(__xludf.DUMMYFUNCTION("""COMPUTED_VALUE"""),"*DLA*")</f>
        <v>*DLA*</v>
      </c>
      <c r="W174" s="10" t="str">
        <f>IFERROR(__xludf.DUMMYFUNCTION("""COMPUTED_VALUE"""),"*Echant*")</f>
        <v>*Echant*</v>
      </c>
      <c r="X174" s="10" t="str">
        <f>IFERROR(__xludf.DUMMYFUNCTION("""COMPUTED_VALUE"""),"")</f>
        <v/>
      </c>
      <c r="Y174" s="10"/>
      <c r="Z174" s="10"/>
      <c r="AA174" s="10"/>
      <c r="AB174" s="10"/>
      <c r="AC174" s="10"/>
      <c r="AD174" s="10"/>
      <c r="AE174" s="10"/>
      <c r="AF174" s="10"/>
      <c r="AG174" s="10"/>
      <c r="AH174" s="10"/>
    </row>
    <row r="175">
      <c r="A175" s="10">
        <f>IFERROR(__xludf.DUMMYFUNCTION("""COMPUTED_VALUE"""),47.0)</f>
        <v>47</v>
      </c>
      <c r="B175" s="10" t="str">
        <f>IFERROR(__xludf.DUMMYFUNCTION("""COMPUTED_VALUE"""),"Ver Carnivore Geant")</f>
        <v>Ver Carnivore Geant</v>
      </c>
      <c r="C175" s="10" t="str">
        <f>IFERROR(__xludf.DUMMYFUNCTION("""COMPUTED_VALUE"""),"Monstre")</f>
        <v>Monstre</v>
      </c>
      <c r="D175" s="10">
        <f>IFERROR(__xludf.DUMMYFUNCTION("""COMPUTED_VALUE"""),12.0)</f>
        <v>12</v>
      </c>
      <c r="E175" s="10">
        <f>IFERROR(__xludf.DUMMYFUNCTION("""COMPUTED_VALUE"""),1.0)</f>
        <v>1</v>
      </c>
      <c r="F175" s="10" t="str">
        <f>IFERROR(__xludf.DUMMYFUNCTION("""COMPUTED_VALUE"""),"")</f>
        <v/>
      </c>
      <c r="G175" s="10" t="str">
        <f>IFERROR(__xludf.DUMMYFUNCTION("""COMPUTED_VALUE"""),"Non")</f>
        <v>Non</v>
      </c>
      <c r="H175" s="10" t="str">
        <f>IFERROR(__xludf.DUMMYFUNCTION("""COMPUTED_VALUE"""),"Normale")</f>
        <v>Normale</v>
      </c>
      <c r="I175" s="10" t="str">
        <f>IFERROR(__xludf.DUMMYFUNCTION("""COMPUTED_VALUE"""),"Non")</f>
        <v>Non</v>
      </c>
      <c r="J175" s="10" t="str">
        <f>IFERROR(__xludf.DUMMYFUNCTION("""COMPUTED_VALUE"""),"Acide - Auto")</f>
        <v>Acide - Auto</v>
      </c>
      <c r="K175" s="10" t="str">
        <f>IFERROR(__xludf.DUMMYFUNCTION("""COMPUTED_VALUE"""),"-")</f>
        <v>-</v>
      </c>
      <c r="L175" s="10" t="str">
        <f>IFERROR(__xludf.DUMMYFUNCTION("""COMPUTED_VALUE"""),"160 ±45")</f>
        <v>160 ±45</v>
      </c>
      <c r="M175" s="10" t="str">
        <f>IFERROR(__xludf.DUMMYFUNCTION("""COMPUTED_VALUE"""),"6 ± 3")</f>
        <v>6 ± 3</v>
      </c>
      <c r="N175" s="10" t="str">
        <f>IFERROR(__xludf.DUMMYFUNCTION("""COMPUTED_VALUE"""),"3 ±2")</f>
        <v>3 ±2</v>
      </c>
      <c r="O175" s="10" t="str">
        <f>IFERROR(__xludf.DUMMYFUNCTION("""COMPUTED_VALUE"""),"10 ±3")</f>
        <v>10 ±3</v>
      </c>
      <c r="P175" s="10" t="str">
        <f>IFERROR(__xludf.DUMMYFUNCTION("""COMPUTED_VALUE"""),"1 ±2")</f>
        <v>1 ±2</v>
      </c>
      <c r="Q175" s="10" t="str">
        <f>IFERROR(__xludf.DUMMYFUNCTION("""COMPUTED_VALUE"""),"2 ±1")</f>
        <v>2 ±1</v>
      </c>
      <c r="R175" s="10" t="str">
        <f>IFERROR(__xludf.DUMMYFUNCTION("""COMPUTED_VALUE"""),"4 ±2")</f>
        <v>4 ±2</v>
      </c>
      <c r="S175" s="10" t="str">
        <f>IFERROR(__xludf.DUMMYFUNCTION("""COMPUTED_VALUE"""),"")</f>
        <v/>
      </c>
      <c r="T175" s="10" t="str">
        <f>IFERROR(__xludf.DUMMYFUNCTION("""COMPUTED_VALUE"""),"700 ±400")</f>
        <v>700 ±400</v>
      </c>
      <c r="U175" s="10" t="str">
        <f>IFERROR(__xludf.DUMMYFUNCTION("""COMPUTED_VALUE"""),"300 ±300")</f>
        <v>300 ±300</v>
      </c>
      <c r="V175" s="10" t="str">
        <f>IFERROR(__xludf.DUMMYFUNCTION("""COMPUTED_VALUE"""),"12 ±4")</f>
        <v>12 ±4</v>
      </c>
      <c r="W175" s="10">
        <f>IFERROR(__xludf.DUMMYFUNCTION("""COMPUTED_VALUE"""),60.0)</f>
        <v>60</v>
      </c>
      <c r="X175" s="10" t="str">
        <f>IFERROR(__xludf.DUMMYFUNCTION("""COMPUTED_VALUE"""),"")</f>
        <v/>
      </c>
      <c r="Y175" s="10"/>
      <c r="Z175" s="10"/>
      <c r="AA175" s="10"/>
      <c r="AB175" s="10"/>
      <c r="AC175" s="10"/>
      <c r="AD175" s="10"/>
      <c r="AE175" s="10"/>
      <c r="AF175" s="10"/>
      <c r="AG175" s="10"/>
      <c r="AH175" s="10"/>
    </row>
    <row r="176">
      <c r="A176" s="10" t="str">
        <f>IFERROR(__xludf.DUMMYFUNCTION("""COMPUTED_VALUE"""),"")</f>
        <v/>
      </c>
      <c r="B176" s="10" t="str">
        <f>IFERROR(__xludf.DUMMYFUNCTION("""COMPUTED_VALUE"""),"Veskan du Chaos")</f>
        <v>Veskan du Chaos</v>
      </c>
      <c r="C176" s="10" t="str">
        <f>IFERROR(__xludf.DUMMYFUNCTION("""COMPUTED_VALUE"""),"Humanoïde")</f>
        <v>Humanoïde</v>
      </c>
      <c r="D176" s="10">
        <f>IFERROR(__xludf.DUMMYFUNCTION("""COMPUTED_VALUE"""),14.0)</f>
        <v>14</v>
      </c>
      <c r="E176" s="10">
        <f>IFERROR(__xludf.DUMMYFUNCTION("""COMPUTED_VALUE"""),1.0)</f>
        <v>1</v>
      </c>
      <c r="F176" s="10" t="str">
        <f>IFERROR(__xludf.DUMMYFUNCTION("""COMPUTED_VALUE"""),"")</f>
        <v/>
      </c>
      <c r="G176" s="10" t="str">
        <f>IFERROR(__xludf.DUMMYFUNCTION("""COMPUTED_VALUE"""),"Non")</f>
        <v>Non</v>
      </c>
      <c r="H176" s="10" t="str">
        <f>IFERROR(__xludf.DUMMYFUNCTION("""COMPUTED_VALUE"""),"Rapide")</f>
        <v>Rapide</v>
      </c>
      <c r="I176" s="10" t="str">
        <f>IFERROR(__xludf.DUMMYFUNCTION("""COMPUTED_VALUE"""),"Non")</f>
        <v>Non</v>
      </c>
      <c r="J176" s="10" t="str">
        <f>IFERROR(__xludf.DUMMYFUNCTION("""COMPUTED_VALUE"""),"Maladie - Zone")</f>
        <v>Maladie - Zone</v>
      </c>
      <c r="K176" s="10" t="str">
        <f>IFERROR(__xludf.DUMMYFUNCTION("""COMPUTED_VALUE"""),"-")</f>
        <v>-</v>
      </c>
      <c r="L176" s="10" t="str">
        <f>IFERROR(__xludf.DUMMYFUNCTION("""COMPUTED_VALUE"""),"75 ±30")</f>
        <v>75 ±30</v>
      </c>
      <c r="M176" s="10" t="str">
        <f>IFERROR(__xludf.DUMMYFUNCTION("""COMPUTED_VALUE"""),"8 ±2")</f>
        <v>8 ±2</v>
      </c>
      <c r="N176" s="10" t="str">
        <f>IFERROR(__xludf.DUMMYFUNCTION("""COMPUTED_VALUE"""),"12 ±2")</f>
        <v>12 ±2</v>
      </c>
      <c r="O176" s="10" t="str">
        <f>IFERROR(__xludf.DUMMYFUNCTION("""COMPUTED_VALUE"""),"9 ±2")</f>
        <v>9 ±2</v>
      </c>
      <c r="P176" s="10" t="str">
        <f>IFERROR(__xludf.DUMMYFUNCTION("""COMPUTED_VALUE"""),"3 ±2")</f>
        <v>3 ±2</v>
      </c>
      <c r="Q176" s="10" t="str">
        <f>IFERROR(__xludf.DUMMYFUNCTION("""COMPUTED_VALUE"""),"2 ±1")</f>
        <v>2 ±1</v>
      </c>
      <c r="R176" s="10" t="str">
        <f>IFERROR(__xludf.DUMMYFUNCTION("""COMPUTED_VALUE"""),"3 ±2")</f>
        <v>3 ±2</v>
      </c>
      <c r="S176" s="10" t="str">
        <f>IFERROR(__xludf.DUMMYFUNCTION("""COMPUTED_VALUE"""),"")</f>
        <v/>
      </c>
      <c r="T176" s="10" t="str">
        <f>IFERROR(__xludf.DUMMYFUNCTION("""COMPUTED_VALUE"""),"800 ±200")</f>
        <v>800 ±200</v>
      </c>
      <c r="U176" s="10" t="str">
        <f>IFERROR(__xludf.DUMMYFUNCTION("""COMPUTED_VALUE"""),"600 ±200")</f>
        <v>600 ±200</v>
      </c>
      <c r="V176" s="10" t="str">
        <f>IFERROR(__xludf.DUMMYFUNCTION("""COMPUTED_VALUE"""),"9 ±2")</f>
        <v>9 ±2</v>
      </c>
      <c r="W176" s="10">
        <f>IFERROR(__xludf.DUMMYFUNCTION("""COMPUTED_VALUE"""),3.0)</f>
        <v>3</v>
      </c>
      <c r="X176" s="10" t="str">
        <f>IFERROR(__xludf.DUMMYFUNCTION("""COMPUTED_VALUE"""),"")</f>
        <v/>
      </c>
      <c r="Y176" s="10"/>
      <c r="Z176" s="10"/>
      <c r="AA176" s="10"/>
      <c r="AB176" s="10"/>
      <c r="AC176" s="10"/>
      <c r="AD176" s="10"/>
      <c r="AE176" s="10"/>
      <c r="AF176" s="10"/>
      <c r="AG176" s="10"/>
      <c r="AH176" s="10"/>
    </row>
    <row r="177">
      <c r="A177" s="10">
        <f>IFERROR(__xludf.DUMMYFUNCTION("""COMPUTED_VALUE"""),145.0)</f>
        <v>145</v>
      </c>
      <c r="B177" s="10" t="str">
        <f>IFERROR(__xludf.DUMMYFUNCTION("""COMPUTED_VALUE"""),"Vouivre")</f>
        <v>Vouivre</v>
      </c>
      <c r="C177" s="10" t="str">
        <f>IFERROR(__xludf.DUMMYFUNCTION("""COMPUTED_VALUE"""),"Monstre")</f>
        <v>Monstre</v>
      </c>
      <c r="D177" s="10">
        <f>IFERROR(__xludf.DUMMYFUNCTION("""COMPUTED_VALUE"""),33.0)</f>
        <v>33</v>
      </c>
      <c r="E177" s="10">
        <f>IFERROR(__xludf.DUMMYFUNCTION("""COMPUTED_VALUE"""),1.0)</f>
        <v>1</v>
      </c>
      <c r="F177" s="10" t="str">
        <f>IFERROR(__xludf.DUMMYFUNCTION("""COMPUTED_VALUE"""),"Non")</f>
        <v>Non</v>
      </c>
      <c r="G177" s="10" t="str">
        <f>IFERROR(__xludf.DUMMYFUNCTION("""COMPUTED_VALUE"""),"Non")</f>
        <v>Non</v>
      </c>
      <c r="H177" s="10" t="str">
        <f>IFERROR(__xludf.DUMMYFUNCTION("""COMPUTED_VALUE"""),"Rapide")</f>
        <v>Rapide</v>
      </c>
      <c r="I177" s="10" t="str">
        <f>IFERROR(__xludf.DUMMYFUNCTION("""COMPUTED_VALUE"""),"Non")</f>
        <v>Non</v>
      </c>
      <c r="J177" s="10" t="str">
        <f>IFERROR(__xludf.DUMMYFUNCTION("""COMPUTED_VALUE"""),"Venin - Toucher")</f>
        <v>Venin - Toucher</v>
      </c>
      <c r="K177" s="10" t="str">
        <f>IFERROR(__xludf.DUMMYFUNCTION("""COMPUTED_VALUE"""),"-")</f>
        <v>-</v>
      </c>
      <c r="L177" s="10" t="str">
        <f>IFERROR(__xludf.DUMMYFUNCTION("""COMPUTED_VALUE"""),"130 ±40")</f>
        <v>130 ±40</v>
      </c>
      <c r="M177" s="10" t="str">
        <f>IFERROR(__xludf.DUMMYFUNCTION("""COMPUTED_VALUE"""),"16 ±3")</f>
        <v>16 ±3</v>
      </c>
      <c r="N177" s="10" t="str">
        <f>IFERROR(__xludf.DUMMYFUNCTION("""COMPUTED_VALUE"""),"17 ±3")</f>
        <v>17 ±3</v>
      </c>
      <c r="O177" s="10" t="str">
        <f>IFERROR(__xludf.DUMMYFUNCTION("""COMPUTED_VALUE"""),"10 ±3")</f>
        <v>10 ±3</v>
      </c>
      <c r="P177" s="10" t="str">
        <f>IFERROR(__xludf.DUMMYFUNCTION("""COMPUTED_VALUE"""),"5 ±3")</f>
        <v>5 ±3</v>
      </c>
      <c r="Q177" s="10" t="str">
        <f>IFERROR(__xludf.DUMMYFUNCTION("""COMPUTED_VALUE"""),"4 ±1")</f>
        <v>4 ±1</v>
      </c>
      <c r="R177" s="10" t="str">
        <f>IFERROR(__xludf.DUMMYFUNCTION("""COMPUTED_VALUE"""),"20 ±4")</f>
        <v>20 ±4</v>
      </c>
      <c r="S177" s="10" t="str">
        <f>IFERROR(__xludf.DUMMYFUNCTION("""COMPUTED_VALUE"""),"")</f>
        <v/>
      </c>
      <c r="T177" s="10" t="str">
        <f>IFERROR(__xludf.DUMMYFUNCTION("""COMPUTED_VALUE"""),"800 ±300")</f>
        <v>800 ±300</v>
      </c>
      <c r="U177" s="10" t="str">
        <f>IFERROR(__xludf.DUMMYFUNCTION("""COMPUTED_VALUE"""),"500 ±200")</f>
        <v>500 ±200</v>
      </c>
      <c r="V177" s="10" t="str">
        <f>IFERROR(__xludf.DUMMYFUNCTION("""COMPUTED_VALUE"""),"9 ±3")</f>
        <v>9 ±3</v>
      </c>
      <c r="W177" s="10">
        <f>IFERROR(__xludf.DUMMYFUNCTION("""COMPUTED_VALUE"""),101.0)</f>
        <v>101</v>
      </c>
      <c r="X177" s="10" t="str">
        <f>IFERROR(__xludf.DUMMYFUNCTION("""COMPUTED_VALUE"""),"")</f>
        <v/>
      </c>
      <c r="Y177" s="10"/>
      <c r="Z177" s="10"/>
      <c r="AA177" s="10"/>
      <c r="AB177" s="10"/>
      <c r="AC177" s="10"/>
      <c r="AD177" s="10"/>
      <c r="AE177" s="10"/>
      <c r="AF177" s="10"/>
      <c r="AG177" s="10"/>
      <c r="AH177" s="10"/>
    </row>
    <row r="178">
      <c r="A178" s="10">
        <f>IFERROR(__xludf.DUMMYFUNCTION("""COMPUTED_VALUE"""),136.0)</f>
        <v>136</v>
      </c>
      <c r="B178" s="10" t="str">
        <f>IFERROR(__xludf.DUMMYFUNCTION("""COMPUTED_VALUE"""),"Worg")</f>
        <v>Worg</v>
      </c>
      <c r="C178" s="10" t="str">
        <f>IFERROR(__xludf.DUMMYFUNCTION("""COMPUTED_VALUE"""),"Monstre")</f>
        <v>Monstre</v>
      </c>
      <c r="D178" s="10">
        <f>IFERROR(__xludf.DUMMYFUNCTION("""COMPUTED_VALUE"""),5.0)</f>
        <v>5</v>
      </c>
      <c r="E178" s="10">
        <f>IFERROR(__xludf.DUMMYFUNCTION("""COMPUTED_VALUE"""),1.0)</f>
        <v>1</v>
      </c>
      <c r="F178" s="10" t="str">
        <f>IFERROR(__xludf.DUMMYFUNCTION("""COMPUTED_VALUE"""),"")</f>
        <v/>
      </c>
      <c r="G178" s="10" t="str">
        <f>IFERROR(__xludf.DUMMYFUNCTION("""COMPUTED_VALUE"""),"Non")</f>
        <v>Non</v>
      </c>
      <c r="H178" s="10" t="str">
        <f>IFERROR(__xludf.DUMMYFUNCTION("""COMPUTED_VALUE"""),"Rapide")</f>
        <v>Rapide</v>
      </c>
      <c r="I178" s="10" t="str">
        <f>IFERROR(__xludf.DUMMYFUNCTION("""COMPUTED_VALUE"""),"Non")</f>
        <v>Non</v>
      </c>
      <c r="J178" s="10" t="str">
        <f>IFERROR(__xludf.DUMMYFUNCTION("""COMPUTED_VALUE"""),"-")</f>
        <v>-</v>
      </c>
      <c r="K178" s="10" t="str">
        <f>IFERROR(__xludf.DUMMYFUNCTION("""COMPUTED_VALUE"""),"-")</f>
        <v>-</v>
      </c>
      <c r="L178" s="10" t="str">
        <f>IFERROR(__xludf.DUMMYFUNCTION("""COMPUTED_VALUE"""),"50 ±25")</f>
        <v>50 ±25</v>
      </c>
      <c r="M178" s="10" t="str">
        <f>IFERROR(__xludf.DUMMYFUNCTION("""COMPUTED_VALUE"""),"7 ±4")</f>
        <v>7 ±4</v>
      </c>
      <c r="N178" s="10" t="str">
        <f>IFERROR(__xludf.DUMMYFUNCTION("""COMPUTED_VALUE"""),"4 ±3")</f>
        <v>4 ±3</v>
      </c>
      <c r="O178" s="10" t="str">
        <f>IFERROR(__xludf.DUMMYFUNCTION("""COMPUTED_VALUE"""),"5 ±3")</f>
        <v>5 ±3</v>
      </c>
      <c r="P178" s="10" t="str">
        <f>IFERROR(__xludf.DUMMYFUNCTION("""COMPUTED_VALUE"""),"3 ±2")</f>
        <v>3 ±2</v>
      </c>
      <c r="Q178" s="10" t="str">
        <f>IFERROR(__xludf.DUMMYFUNCTION("""COMPUTED_VALUE"""),"1 ±1")</f>
        <v>1 ±1</v>
      </c>
      <c r="R178" s="10" t="str">
        <f>IFERROR(__xludf.DUMMYFUNCTION("""COMPUTED_VALUE"""),"5 ±3")</f>
        <v>5 ±3</v>
      </c>
      <c r="S178" s="10" t="str">
        <f>IFERROR(__xludf.DUMMYFUNCTION("""COMPUTED_VALUE"""),"")</f>
        <v/>
      </c>
      <c r="T178" s="10" t="str">
        <f>IFERROR(__xludf.DUMMYFUNCTION("""COMPUTED_VALUE"""),"100 ±100")</f>
        <v>100 ±100</v>
      </c>
      <c r="U178" s="10" t="str">
        <f>IFERROR(__xludf.DUMMYFUNCTION("""COMPUTED_VALUE"""),"100 ±0")</f>
        <v>100 ±0</v>
      </c>
      <c r="V178" s="10" t="str">
        <f>IFERROR(__xludf.DUMMYFUNCTION("""COMPUTED_VALUE"""),"12 ±4")</f>
        <v>12 ±4</v>
      </c>
      <c r="W178" s="10">
        <f>IFERROR(__xludf.DUMMYFUNCTION("""COMPUTED_VALUE"""),28.0)</f>
        <v>28</v>
      </c>
      <c r="X178" s="10" t="str">
        <f>IFERROR(__xludf.DUMMYFUNCTION("""COMPUTED_VALUE"""),"")</f>
        <v/>
      </c>
      <c r="Y178" s="10"/>
      <c r="Z178" s="10"/>
      <c r="AA178" s="10"/>
      <c r="AB178" s="10"/>
      <c r="AC178" s="10"/>
      <c r="AD178" s="10"/>
      <c r="AE178" s="10"/>
      <c r="AF178" s="10"/>
      <c r="AG178" s="10"/>
      <c r="AH178" s="10"/>
    </row>
    <row r="179">
      <c r="A179" s="10">
        <f>IFERROR(__xludf.DUMMYFUNCTION("""COMPUTED_VALUE"""),72.0)</f>
        <v>72</v>
      </c>
      <c r="B179" s="10" t="str">
        <f>IFERROR(__xludf.DUMMYFUNCTION("""COMPUTED_VALUE"""),"Xorn")</f>
        <v>Xorn</v>
      </c>
      <c r="C179" s="10" t="str">
        <f>IFERROR(__xludf.DUMMYFUNCTION("""COMPUTED_VALUE"""),"Démon")</f>
        <v>Démon</v>
      </c>
      <c r="D179" s="10">
        <f>IFERROR(__xludf.DUMMYFUNCTION("""COMPUTED_VALUE"""),14.0)</f>
        <v>14</v>
      </c>
      <c r="E179" s="10">
        <f>IFERROR(__xludf.DUMMYFUNCTION("""COMPUTED_VALUE"""),1.0)</f>
        <v>1</v>
      </c>
      <c r="F179" s="10" t="str">
        <f>IFERROR(__xludf.DUMMYFUNCTION("""COMPUTED_VALUE"""),"Non")</f>
        <v>Non</v>
      </c>
      <c r="G179" s="10" t="str">
        <f>IFERROR(__xludf.DUMMYFUNCTION("""COMPUTED_VALUE"""),"Non")</f>
        <v>Non</v>
      </c>
      <c r="H179" s="10" t="str">
        <f>IFERROR(__xludf.DUMMYFUNCTION("""COMPUTED_VALUE"""),"Rapide")</f>
        <v>Rapide</v>
      </c>
      <c r="I179" s="10" t="str">
        <f>IFERROR(__xludf.DUMMYFUNCTION("""COMPUTED_VALUE"""),"Non")</f>
        <v>Non</v>
      </c>
      <c r="J179" s="10" t="str">
        <f>IFERROR(__xludf.DUMMYFUNCTION("""COMPUTED_VALUE"""),"-")</f>
        <v>-</v>
      </c>
      <c r="K179" s="10" t="str">
        <f>IFERROR(__xludf.DUMMYFUNCTION("""COMPUTED_VALUE"""),"-")</f>
        <v>-</v>
      </c>
      <c r="L179" s="10" t="str">
        <f>IFERROR(__xludf.DUMMYFUNCTION("""COMPUTED_VALUE"""),"90 ±35")</f>
        <v>90 ±35</v>
      </c>
      <c r="M179" s="10" t="str">
        <f>IFERROR(__xludf.DUMMYFUNCTION("""COMPUTED_VALUE"""),"5 ±3")</f>
        <v>5 ±3</v>
      </c>
      <c r="N179" s="10" t="str">
        <f>IFERROR(__xludf.DUMMYFUNCTION("""COMPUTED_VALUE"""),"5 ±3")</f>
        <v>5 ±3</v>
      </c>
      <c r="O179" s="10" t="str">
        <f>IFERROR(__xludf.DUMMYFUNCTION("""COMPUTED_VALUE"""),"12 ±4")</f>
        <v>12 ±4</v>
      </c>
      <c r="P179" s="10" t="str">
        <f>IFERROR(__xludf.DUMMYFUNCTION("""COMPUTED_VALUE"""),"2 ±2")</f>
        <v>2 ±2</v>
      </c>
      <c r="Q179" s="10" t="str">
        <f>IFERROR(__xludf.DUMMYFUNCTION("""COMPUTED_VALUE"""),"2 ±1")</f>
        <v>2 ±1</v>
      </c>
      <c r="R179" s="10" t="str">
        <f>IFERROR(__xludf.DUMMYFUNCTION("""COMPUTED_VALUE"""),"9 ±3")</f>
        <v>9 ±3</v>
      </c>
      <c r="S179" s="10" t="str">
        <f>IFERROR(__xludf.DUMMYFUNCTION("""COMPUTED_VALUE"""),"")</f>
        <v/>
      </c>
      <c r="T179" s="10" t="str">
        <f>IFERROR(__xludf.DUMMYFUNCTION("""COMPUTED_VALUE"""),"600 ±400")</f>
        <v>600 ±400</v>
      </c>
      <c r="U179" s="10" t="str">
        <f>IFERROR(__xludf.DUMMYFUNCTION("""COMPUTED_VALUE"""),"200 ±200")</f>
        <v>200 ±200</v>
      </c>
      <c r="V179" s="10" t="str">
        <f>IFERROR(__xludf.DUMMYFUNCTION("""COMPUTED_VALUE"""),"12 ±3")</f>
        <v>12 ±3</v>
      </c>
      <c r="W179" s="10">
        <f>IFERROR(__xludf.DUMMYFUNCTION("""COMPUTED_VALUE"""),31.0)</f>
        <v>31</v>
      </c>
      <c r="X179" s="10" t="str">
        <f>IFERROR(__xludf.DUMMYFUNCTION("""COMPUTED_VALUE"""),"")</f>
        <v/>
      </c>
      <c r="Y179" s="10"/>
      <c r="Z179" s="10"/>
      <c r="AA179" s="10"/>
      <c r="AB179" s="10"/>
      <c r="AC179" s="10"/>
      <c r="AD179" s="10"/>
      <c r="AE179" s="10"/>
      <c r="AF179" s="10"/>
      <c r="AG179" s="10"/>
      <c r="AH179" s="10"/>
    </row>
    <row r="180">
      <c r="A180" s="10">
        <f>IFERROR(__xludf.DUMMYFUNCTION("""COMPUTED_VALUE"""),123.0)</f>
        <v>123</v>
      </c>
      <c r="B180" s="10" t="str">
        <f>IFERROR(__xludf.DUMMYFUNCTION("""COMPUTED_VALUE"""),"Yéti")</f>
        <v>Yéti</v>
      </c>
      <c r="C180" s="10" t="str">
        <f>IFERROR(__xludf.DUMMYFUNCTION("""COMPUTED_VALUE"""),"Humanoïde")</f>
        <v>Humanoïde</v>
      </c>
      <c r="D180" s="10">
        <f>IFERROR(__xludf.DUMMYFUNCTION("""COMPUTED_VALUE"""),8.0)</f>
        <v>8</v>
      </c>
      <c r="E180" s="10">
        <f>IFERROR(__xludf.DUMMYFUNCTION("""COMPUTED_VALUE"""),1.0)</f>
        <v>1</v>
      </c>
      <c r="F180" s="10" t="str">
        <f>IFERROR(__xludf.DUMMYFUNCTION("""COMPUTED_VALUE"""),"")</f>
        <v/>
      </c>
      <c r="G180" s="10" t="str">
        <f>IFERROR(__xludf.DUMMYFUNCTION("""COMPUTED_VALUE"""),"Non")</f>
        <v>Non</v>
      </c>
      <c r="H180" s="10" t="str">
        <f>IFERROR(__xludf.DUMMYFUNCTION("""COMPUTED_VALUE"""),"Normale")</f>
        <v>Normale</v>
      </c>
      <c r="I180" s="10" t="str">
        <f>IFERROR(__xludf.DUMMYFUNCTION("""COMPUTED_VALUE"""),"Non")</f>
        <v>Non</v>
      </c>
      <c r="J180" s="10" t="str">
        <f>IFERROR(__xludf.DUMMYFUNCTION("""COMPUTED_VALUE"""),"Constriction - Toucher")</f>
        <v>Constriction - Toucher</v>
      </c>
      <c r="K180" s="10" t="str">
        <f>IFERROR(__xludf.DUMMYFUNCTION("""COMPUTED_VALUE"""),"-")</f>
        <v>-</v>
      </c>
      <c r="L180" s="10" t="str">
        <f>IFERROR(__xludf.DUMMYFUNCTION("""COMPUTED_VALUE"""),"55 ± 30")</f>
        <v>55 ± 30</v>
      </c>
      <c r="M180" s="10" t="str">
        <f>IFERROR(__xludf.DUMMYFUNCTION("""COMPUTED_VALUE"""),"6 ±3")</f>
        <v>6 ±3</v>
      </c>
      <c r="N180" s="10" t="str">
        <f>IFERROR(__xludf.DUMMYFUNCTION("""COMPUTED_VALUE"""),"5 ±3")</f>
        <v>5 ±3</v>
      </c>
      <c r="O180" s="10" t="str">
        <f>IFERROR(__xludf.DUMMYFUNCTION("""COMPUTED_VALUE"""),"5 ±3")</f>
        <v>5 ±3</v>
      </c>
      <c r="P180" s="10" t="str">
        <f>IFERROR(__xludf.DUMMYFUNCTION("""COMPUTED_VALUE"""),"4 ±3")</f>
        <v>4 ±3</v>
      </c>
      <c r="Q180" s="10" t="str">
        <f>IFERROR(__xludf.DUMMYFUNCTION("""COMPUTED_VALUE"""),"3 ±1")</f>
        <v>3 ±1</v>
      </c>
      <c r="R180" s="10" t="str">
        <f>IFERROR(__xludf.DUMMYFUNCTION("""COMPUTED_VALUE"""),"6 ±3")</f>
        <v>6 ±3</v>
      </c>
      <c r="S180" s="10" t="str">
        <f>IFERROR(__xludf.DUMMYFUNCTION("""COMPUTED_VALUE"""),"")</f>
        <v/>
      </c>
      <c r="T180" s="10" t="str">
        <f>IFERROR(__xludf.DUMMYFUNCTION("""COMPUTED_VALUE"""),"100 ±200")</f>
        <v>100 ±200</v>
      </c>
      <c r="U180" s="10" t="str">
        <f>IFERROR(__xludf.DUMMYFUNCTION("""COMPUTED_VALUE"""),"200 ±200")</f>
        <v>200 ±200</v>
      </c>
      <c r="V180" s="10" t="str">
        <f>IFERROR(__xludf.DUMMYFUNCTION("""COMPUTED_VALUE"""),"12 ±4")</f>
        <v>12 ±4</v>
      </c>
      <c r="W180" s="10">
        <f>IFERROR(__xludf.DUMMYFUNCTION("""COMPUTED_VALUE"""),25.0)</f>
        <v>25</v>
      </c>
      <c r="X180" s="10" t="str">
        <f>IFERROR(__xludf.DUMMYFUNCTION("""COMPUTED_VALUE"""),"")</f>
        <v/>
      </c>
      <c r="Y180" s="10"/>
      <c r="Z180" s="10"/>
      <c r="AA180" s="10"/>
      <c r="AB180" s="10"/>
      <c r="AC180" s="10"/>
      <c r="AD180" s="10"/>
      <c r="AE180" s="10"/>
      <c r="AF180" s="10"/>
      <c r="AG180" s="10"/>
      <c r="AH180" s="10"/>
    </row>
    <row r="181">
      <c r="A181" s="10">
        <f>IFERROR(__xludf.DUMMYFUNCTION("""COMPUTED_VALUE"""),124.0)</f>
        <v>124</v>
      </c>
      <c r="B181" s="10" t="str">
        <f>IFERROR(__xludf.DUMMYFUNCTION("""COMPUTED_VALUE"""),"Yuan-ti")</f>
        <v>Yuan-ti</v>
      </c>
      <c r="C181" s="10" t="str">
        <f>IFERROR(__xludf.DUMMYFUNCTION("""COMPUTED_VALUE"""),"Humanoïde")</f>
        <v>Humanoïde</v>
      </c>
      <c r="D181" s="10">
        <f>IFERROR(__xludf.DUMMYFUNCTION("""COMPUTED_VALUE"""),15.0)</f>
        <v>15</v>
      </c>
      <c r="E181" s="10">
        <f>IFERROR(__xludf.DUMMYFUNCTION("""COMPUTED_VALUE"""),1.0)</f>
        <v>1</v>
      </c>
      <c r="F181" s="10" t="str">
        <f>IFERROR(__xludf.DUMMYFUNCTION("""COMPUTED_VALUE"""),"Non")</f>
        <v>Non</v>
      </c>
      <c r="G181" s="10" t="str">
        <f>IFERROR(__xludf.DUMMYFUNCTION("""COMPUTED_VALUE"""),"Non")</f>
        <v>Non</v>
      </c>
      <c r="H181" s="10" t="str">
        <f>IFERROR(__xludf.DUMMYFUNCTION("""COMPUTED_VALUE"""),"Normale")</f>
        <v>Normale</v>
      </c>
      <c r="I181" s="10" t="str">
        <f>IFERROR(__xludf.DUMMYFUNCTION("""COMPUTED_VALUE"""),"Non")</f>
        <v>Non</v>
      </c>
      <c r="J181" s="10" t="str">
        <f>IFERROR(__xludf.DUMMYFUNCTION("""COMPUTED_VALUE"""),"Constriction - Toucher")</f>
        <v>Constriction - Toucher</v>
      </c>
      <c r="K181" s="10" t="str">
        <f>IFERROR(__xludf.DUMMYFUNCTION("""COMPUTED_VALUE"""),"-")</f>
        <v>-</v>
      </c>
      <c r="L181" s="10" t="str">
        <f>IFERROR(__xludf.DUMMYFUNCTION("""COMPUTED_VALUE"""),"85 ±30")</f>
        <v>85 ±30</v>
      </c>
      <c r="M181" s="10" t="str">
        <f>IFERROR(__xludf.DUMMYFUNCTION("""COMPUTED_VALUE"""),"10 ±3")</f>
        <v>10 ±3</v>
      </c>
      <c r="N181" s="10" t="str">
        <f>IFERROR(__xludf.DUMMYFUNCTION("""COMPUTED_VALUE"""),"9 ±3")</f>
        <v>9 ±3</v>
      </c>
      <c r="O181" s="10" t="str">
        <f>IFERROR(__xludf.DUMMYFUNCTION("""COMPUTED_VALUE"""),"6 ±3")</f>
        <v>6 ±3</v>
      </c>
      <c r="P181" s="10" t="str">
        <f>IFERROR(__xludf.DUMMYFUNCTION("""COMPUTED_VALUE"""),"4 ±3")</f>
        <v>4 ±3</v>
      </c>
      <c r="Q181" s="10" t="str">
        <f>IFERROR(__xludf.DUMMYFUNCTION("""COMPUTED_VALUE"""),"2 ±1")</f>
        <v>2 ±1</v>
      </c>
      <c r="R181" s="10" t="str">
        <f>IFERROR(__xludf.DUMMYFUNCTION("""COMPUTED_VALUE"""),"7 ±3")</f>
        <v>7 ±3</v>
      </c>
      <c r="S181" s="10" t="str">
        <f>IFERROR(__xludf.DUMMYFUNCTION("""COMPUTED_VALUE"""),"")</f>
        <v/>
      </c>
      <c r="T181" s="10" t="str">
        <f>IFERROR(__xludf.DUMMYFUNCTION("""COMPUTED_VALUE"""),"800 ±300")</f>
        <v>800 ±300</v>
      </c>
      <c r="U181" s="10" t="str">
        <f>IFERROR(__xludf.DUMMYFUNCTION("""COMPUTED_VALUE"""),"300 ±200")</f>
        <v>300 ±200</v>
      </c>
      <c r="V181" s="10" t="str">
        <f>IFERROR(__xludf.DUMMYFUNCTION("""COMPUTED_VALUE"""),"12 ±4")</f>
        <v>12 ±4</v>
      </c>
      <c r="W181" s="10">
        <f>IFERROR(__xludf.DUMMYFUNCTION("""COMPUTED_VALUE"""),69.0)</f>
        <v>69</v>
      </c>
      <c r="X181" s="10" t="str">
        <f>IFERROR(__xludf.DUMMYFUNCTION("""COMPUTED_VALUE"""),"")</f>
        <v/>
      </c>
      <c r="Y181" s="10"/>
      <c r="Z181" s="10"/>
      <c r="AA181" s="10"/>
      <c r="AB181" s="10"/>
      <c r="AC181" s="10"/>
      <c r="AD181" s="10"/>
      <c r="AE181" s="10"/>
      <c r="AF181" s="10"/>
      <c r="AG181" s="10"/>
      <c r="AH181" s="10"/>
    </row>
    <row r="182">
      <c r="A182" s="10" t="str">
        <f>IFERROR(__xludf.DUMMYFUNCTION("""COMPUTED_VALUE"""),"*Id*")</f>
        <v>*Id*</v>
      </c>
      <c r="B182" s="10" t="str">
        <f>IFERROR(__xludf.DUMMYFUNCTION("""COMPUTED_VALUE"""),"*Nom*")</f>
        <v>*Nom*</v>
      </c>
      <c r="C182" s="10" t="str">
        <f>IFERROR(__xludf.DUMMYFUNCTION("""COMPUTED_VALUE"""),"*Famille*")</f>
        <v>*Famille*</v>
      </c>
      <c r="D182" s="10" t="str">
        <f>IFERROR(__xludf.DUMMYFUNCTION("""COMPUTED_VALUE"""),"*Niv*")</f>
        <v>*Niv*</v>
      </c>
      <c r="E182" s="10" t="str">
        <f>IFERROR(__xludf.DUMMYFUNCTION("""COMPUTED_VALUE"""),"*Nb att*")</f>
        <v>*Nb att*</v>
      </c>
      <c r="F182" s="10" t="str">
        <f>IFERROR(__xludf.DUMMYFUNCTION("""COMPUTED_VALUE"""),"*Att mag*")</f>
        <v>*Att mag*</v>
      </c>
      <c r="G182" s="10" t="str">
        <f>IFERROR(__xludf.DUMMYFUNCTION("""COMPUTED_VALUE"""),"*Att dist*")</f>
        <v>*Att dist*</v>
      </c>
      <c r="H182" s="10" t="str">
        <f>IFERROR(__xludf.DUMMYFUNCTION("""COMPUTED_VALUE"""),"*Vit*")</f>
        <v>*Vit*</v>
      </c>
      <c r="I182" s="10" t="str">
        <f>IFERROR(__xludf.DUMMYFUNCTION("""COMPUTED_VALUE"""),"*VlC*")</f>
        <v>*VlC*</v>
      </c>
      <c r="J182" s="10" t="str">
        <f>IFERROR(__xludf.DUMMYFUNCTION("""COMPUTED_VALUE"""),"*Pouvoir 1*")</f>
        <v>*Pouvoir 1*</v>
      </c>
      <c r="K182" s="10" t="str">
        <f>IFERROR(__xludf.DUMMYFUNCTION("""COMPUTED_VALUE"""),"*Pouvoir 2*")</f>
        <v>*Pouvoir 2*</v>
      </c>
      <c r="L182" s="10" t="str">
        <f>IFERROR(__xludf.DUMMYFUNCTION("""COMPUTED_VALUE"""),"*PV*")</f>
        <v>*PV*</v>
      </c>
      <c r="M182" s="10" t="str">
        <f>IFERROR(__xludf.DUMMYFUNCTION("""COMPUTED_VALUE"""),"*Att*")</f>
        <v>*Att*</v>
      </c>
      <c r="N182" s="10" t="str">
        <f>IFERROR(__xludf.DUMMYFUNCTION("""COMPUTED_VALUE"""),"*Esq*")</f>
        <v>*Esq*</v>
      </c>
      <c r="O182" s="10" t="str">
        <f>IFERROR(__xludf.DUMMYFUNCTION("""COMPUTED_VALUE"""),"*Dégât*")</f>
        <v>*Dégât*</v>
      </c>
      <c r="P182" s="10" t="str">
        <f>IFERROR(__xludf.DUMMYFUNCTION("""COMPUTED_VALUE"""),"*Vue*")</f>
        <v>*Vue*</v>
      </c>
      <c r="Q182" s="10" t="str">
        <f>IFERROR(__xludf.DUMMYFUNCTION("""COMPUTED_VALUE"""),"*Régen*")</f>
        <v>*Régen*</v>
      </c>
      <c r="R182" s="10" t="str">
        <f>IFERROR(__xludf.DUMMYFUNCTION("""COMPUTED_VALUE"""),"*Arm phy*")</f>
        <v>*Arm phy*</v>
      </c>
      <c r="S182" s="10" t="str">
        <f>IFERROR(__xludf.DUMMYFUNCTION("""COMPUTED_VALUE"""),"*Arm mag*")</f>
        <v>*Arm mag*</v>
      </c>
      <c r="T182" s="10" t="str">
        <f>IFERROR(__xludf.DUMMYFUNCTION("""COMPUTED_VALUE"""),"*MM*")</f>
        <v>*MM*</v>
      </c>
      <c r="U182" s="10" t="str">
        <f>IFERROR(__xludf.DUMMYFUNCTION("""COMPUTED_VALUE"""),"*RM*")</f>
        <v>*RM*</v>
      </c>
      <c r="V182" s="10" t="str">
        <f>IFERROR(__xludf.DUMMYFUNCTION("""COMPUTED_VALUE"""),"*DLA*")</f>
        <v>*DLA*</v>
      </c>
      <c r="W182" s="10" t="str">
        <f>IFERROR(__xludf.DUMMYFUNCTION("""COMPUTED_VALUE"""),"*Echant*")</f>
        <v>*Echant*</v>
      </c>
      <c r="X182" s="10" t="str">
        <f>IFERROR(__xludf.DUMMYFUNCTION("""COMPUTED_VALUE"""),"*Vole*")</f>
        <v>*Vole*</v>
      </c>
      <c r="Y182" s="10"/>
      <c r="Z182" s="10"/>
      <c r="AA182" s="10"/>
      <c r="AB182" s="10"/>
      <c r="AC182" s="10"/>
      <c r="AD182" s="10"/>
      <c r="AE182" s="10"/>
      <c r="AF182" s="10"/>
      <c r="AG182" s="10"/>
      <c r="AH182" s="10"/>
    </row>
    <row r="183">
      <c r="A183" s="10">
        <f>IFERROR(__xludf.DUMMYFUNCTION("""COMPUTED_VALUE"""),7.0)</f>
        <v>7</v>
      </c>
      <c r="B183" s="10" t="str">
        <f>IFERROR(__xludf.DUMMYFUNCTION("""COMPUTED_VALUE"""),"Zombie")</f>
        <v>Zombie</v>
      </c>
      <c r="C183" s="10" t="str">
        <f>IFERROR(__xludf.DUMMYFUNCTION("""COMPUTED_VALUE"""),"Mort-Vivant")</f>
        <v>Mort-Vivant</v>
      </c>
      <c r="D183" s="10">
        <f>IFERROR(__xludf.DUMMYFUNCTION("""COMPUTED_VALUE"""),2.0)</f>
        <v>2</v>
      </c>
      <c r="E183" s="10">
        <f>IFERROR(__xludf.DUMMYFUNCTION("""COMPUTED_VALUE"""),1.0)</f>
        <v>1</v>
      </c>
      <c r="F183" s="10" t="str">
        <f>IFERROR(__xludf.DUMMYFUNCTION("""COMPUTED_VALUE"""),"Non")</f>
        <v>Non</v>
      </c>
      <c r="G183" s="10" t="str">
        <f>IFERROR(__xludf.DUMMYFUNCTION("""COMPUTED_VALUE"""),"Non")</f>
        <v>Non</v>
      </c>
      <c r="H183" s="10" t="str">
        <f>IFERROR(__xludf.DUMMYFUNCTION("""COMPUTED_VALUE"""),"Lente")</f>
        <v>Lente</v>
      </c>
      <c r="I183" s="10" t="str">
        <f>IFERROR(__xludf.DUMMYFUNCTION("""COMPUTED_VALUE"""),"Oui")</f>
        <v>Oui</v>
      </c>
      <c r="J183" s="10" t="str">
        <f>IFERROR(__xludf.DUMMYFUNCTION("""COMPUTED_VALUE"""),"-")</f>
        <v>-</v>
      </c>
      <c r="K183" s="10" t="str">
        <f>IFERROR(__xludf.DUMMYFUNCTION("""COMPUTED_VALUE"""),"-")</f>
        <v>-</v>
      </c>
      <c r="L183" s="10" t="str">
        <f>IFERROR(__xludf.DUMMYFUNCTION("""COMPUTED_VALUE"""),"30 ±25")</f>
        <v>30 ±25</v>
      </c>
      <c r="M183" s="10" t="str">
        <f>IFERROR(__xludf.DUMMYFUNCTION("""COMPUTED_VALUE"""),"3 ±2")</f>
        <v>3 ±2</v>
      </c>
      <c r="N183" s="10" t="str">
        <f>IFERROR(__xludf.DUMMYFUNCTION("""COMPUTED_VALUE"""),"3 ±2")</f>
        <v>3 ±2</v>
      </c>
      <c r="O183" s="10" t="str">
        <f>IFERROR(__xludf.DUMMYFUNCTION("""COMPUTED_VALUE"""),"4 ±3")</f>
        <v>4 ±3</v>
      </c>
      <c r="P183" s="10" t="str">
        <f>IFERROR(__xludf.DUMMYFUNCTION("""COMPUTED_VALUE"""),"2 ±2")</f>
        <v>2 ±2</v>
      </c>
      <c r="Q183" s="10" t="str">
        <f>IFERROR(__xludf.DUMMYFUNCTION("""COMPUTED_VALUE"""),"2 ±1")</f>
        <v>2 ±1</v>
      </c>
      <c r="R183" s="10" t="str">
        <f>IFERROR(__xludf.DUMMYFUNCTION("""COMPUTED_VALUE"""),"2 ±2")</f>
        <v>2 ±2</v>
      </c>
      <c r="S183" s="10" t="str">
        <f>IFERROR(__xludf.DUMMYFUNCTION("""COMPUTED_VALUE"""),"")</f>
        <v/>
      </c>
      <c r="T183" s="10" t="str">
        <f>IFERROR(__xludf.DUMMYFUNCTION("""COMPUTED_VALUE"""),"")</f>
        <v/>
      </c>
      <c r="U183" s="10" t="str">
        <f>IFERROR(__xludf.DUMMYFUNCTION("""COMPUTED_VALUE"""),"")</f>
        <v/>
      </c>
      <c r="V183" s="10" t="str">
        <f>IFERROR(__xludf.DUMMYFUNCTION("""COMPUTED_VALUE"""),"")</f>
        <v/>
      </c>
      <c r="W183" s="10">
        <f>IFERROR(__xludf.DUMMYFUNCTION("""COMPUTED_VALUE"""),17.0)</f>
        <v>17</v>
      </c>
      <c r="X183" s="10" t="str">
        <f>IFERROR(__xludf.DUMMYFUNCTION("""COMPUTED_VALUE"""),"")</f>
        <v/>
      </c>
      <c r="Y183" s="10"/>
      <c r="Z183" s="10"/>
      <c r="AA183" s="10"/>
      <c r="AB183" s="10"/>
      <c r="AC183" s="10"/>
      <c r="AD183" s="10"/>
      <c r="AE183" s="10"/>
      <c r="AF183" s="10"/>
      <c r="AG183" s="10"/>
      <c r="AH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row>
  </sheetData>
  <drawing r:id="rId1"/>
</worksheet>
</file>