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marin/Documents/Uni/2n/LaboratoriElectromagnetisme/Elecgit/Excels/"/>
    </mc:Choice>
  </mc:AlternateContent>
  <xr:revisionPtr revIDLastSave="0" documentId="13_ncr:1_{FB0C4419-37D9-3A4D-8EF3-1F39F8E2944E}" xr6:coauthVersionLast="31" xr6:coauthVersionMax="31" xr10:uidLastSave="{00000000-0000-0000-0000-000000000000}"/>
  <bookViews>
    <workbookView xWindow="0" yWindow="460" windowWidth="28800" windowHeight="16200" firstSheet="1" activeTab="2" xr2:uid="{F3ED2172-909D-A94D-B9BD-042FB95B2AEC}"/>
  </bookViews>
  <sheets>
    <sheet name="Força vs corrent" sheetId="1" r:id="rId1"/>
    <sheet name="Força vs separacio" sheetId="2" r:id="rId2"/>
    <sheet name="Camp de la Terra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9" i="3" l="1"/>
  <c r="H30" i="3"/>
  <c r="G18" i="3"/>
  <c r="H18" i="3"/>
  <c r="H12" i="3"/>
  <c r="H13" i="3"/>
  <c r="H14" i="3"/>
  <c r="G13" i="3"/>
  <c r="G14" i="3"/>
  <c r="G12" i="3"/>
  <c r="E14" i="3"/>
  <c r="E13" i="3"/>
  <c r="E12" i="3"/>
  <c r="E25" i="3"/>
  <c r="E24" i="3"/>
  <c r="E23" i="3"/>
  <c r="D25" i="3"/>
  <c r="D24" i="3"/>
  <c r="D23" i="3"/>
  <c r="D61" i="1"/>
  <c r="I48" i="1"/>
  <c r="I57" i="1"/>
  <c r="H48" i="1"/>
  <c r="D14" i="3" l="1"/>
  <c r="D13" i="3"/>
  <c r="D12" i="3"/>
  <c r="K39" i="2"/>
  <c r="K38" i="2"/>
  <c r="N17" i="2"/>
  <c r="N16" i="2"/>
  <c r="N15" i="2"/>
  <c r="M15" i="2"/>
  <c r="M16" i="2"/>
  <c r="M17" i="2"/>
  <c r="M18" i="2"/>
  <c r="M19" i="2"/>
  <c r="M14" i="2"/>
  <c r="E29" i="1"/>
  <c r="J29" i="1"/>
  <c r="O29" i="1"/>
  <c r="Y29" i="1"/>
  <c r="T29" i="1"/>
  <c r="O8" i="1"/>
  <c r="O7" i="1"/>
  <c r="O6" i="1"/>
  <c r="O5" i="1"/>
  <c r="O4" i="1"/>
  <c r="P15" i="2" l="1"/>
  <c r="P16" i="2"/>
  <c r="P17" i="2"/>
  <c r="P18" i="2"/>
  <c r="P19" i="2"/>
  <c r="P14" i="2"/>
  <c r="O15" i="2"/>
  <c r="O16" i="2"/>
  <c r="O17" i="2"/>
  <c r="O18" i="2"/>
  <c r="O19" i="2"/>
  <c r="O14" i="2"/>
  <c r="B24" i="2" a="1"/>
  <c r="B24" i="2" s="1"/>
  <c r="C19" i="2"/>
  <c r="C16" i="2"/>
  <c r="C17" i="2"/>
  <c r="C18" i="2"/>
  <c r="C15" i="2"/>
  <c r="E41" i="1"/>
  <c r="E40" i="1"/>
  <c r="E39" i="1"/>
  <c r="E38" i="1"/>
  <c r="E37" i="1"/>
  <c r="W29" i="1"/>
  <c r="C41" i="1" s="1"/>
  <c r="R29" i="1"/>
  <c r="B40" i="1" s="1"/>
  <c r="M29" i="1"/>
  <c r="B39" i="1" s="1"/>
  <c r="H29" i="1"/>
  <c r="C38" i="1" s="1"/>
  <c r="C29" i="1"/>
  <c r="C37" i="1" s="1"/>
  <c r="J26" i="2" l="1" a="1"/>
  <c r="J26" i="2" s="1"/>
  <c r="K36" i="2" s="1"/>
  <c r="C39" i="1"/>
  <c r="C26" i="2"/>
  <c r="C28" i="2"/>
  <c r="C25" i="2"/>
  <c r="C27" i="2"/>
  <c r="B25" i="2"/>
  <c r="B27" i="2"/>
  <c r="C24" i="2"/>
  <c r="B28" i="2"/>
  <c r="B26" i="2"/>
  <c r="C40" i="1"/>
  <c r="B37" i="1"/>
  <c r="B41" i="1"/>
  <c r="B38" i="1"/>
  <c r="K30" i="2" l="1"/>
  <c r="J29" i="2"/>
  <c r="J28" i="2"/>
  <c r="K26" i="2"/>
  <c r="K27" i="2"/>
  <c r="J27" i="2"/>
  <c r="K29" i="2"/>
  <c r="K28" i="2"/>
  <c r="J30" i="2"/>
  <c r="B49" i="1" a="1"/>
  <c r="B49" i="1" s="1"/>
  <c r="N18" i="2"/>
  <c r="N14" i="2"/>
  <c r="N19" i="2"/>
  <c r="B51" i="1" l="1"/>
  <c r="C52" i="1"/>
  <c r="B52" i="1"/>
  <c r="C51" i="1"/>
  <c r="B50" i="1"/>
  <c r="C50" i="1"/>
  <c r="C49" i="1"/>
</calcChain>
</file>

<file path=xl/sharedStrings.xml><?xml version="1.0" encoding="utf-8"?>
<sst xmlns="http://schemas.openxmlformats.org/spreadsheetml/2006/main" count="138" uniqueCount="44">
  <si>
    <t>Intensitat (A)</t>
  </si>
  <si>
    <t>Massa</t>
  </si>
  <si>
    <t>Mesura 1</t>
  </si>
  <si>
    <t>Mesura 2</t>
  </si>
  <si>
    <t>Mesura 3</t>
  </si>
  <si>
    <t>Mesura 4</t>
  </si>
  <si>
    <t>Mesura 5</t>
  </si>
  <si>
    <t>Mesura 6</t>
  </si>
  <si>
    <t>Mesura 7</t>
  </si>
  <si>
    <t>Mesura 8</t>
  </si>
  <si>
    <t>Mitjana</t>
  </si>
  <si>
    <t>Incertesa 1</t>
  </si>
  <si>
    <t>Incertesa 2</t>
  </si>
  <si>
    <t>Incertesa 3</t>
  </si>
  <si>
    <t>Incertesa 4</t>
  </si>
  <si>
    <t>Incertesa 5</t>
  </si>
  <si>
    <t>Incertesa 6</t>
  </si>
  <si>
    <t>Incertesa 7</t>
  </si>
  <si>
    <t>Incertesa 8</t>
  </si>
  <si>
    <t>mg</t>
  </si>
  <si>
    <t>g</t>
  </si>
  <si>
    <t>u(I^2)</t>
  </si>
  <si>
    <t>I^2</t>
  </si>
  <si>
    <t>F=mg</t>
  </si>
  <si>
    <t>u(F)</t>
  </si>
  <si>
    <t>Regressió</t>
  </si>
  <si>
    <t>Constant de torsió</t>
  </si>
  <si>
    <t>Graus</t>
  </si>
  <si>
    <t>Força</t>
  </si>
  <si>
    <t>Distància</t>
  </si>
  <si>
    <t>u(D)</t>
  </si>
  <si>
    <t>u(G)</t>
  </si>
  <si>
    <t xml:space="preserve">Força </t>
  </si>
  <si>
    <t>1/D</t>
  </si>
  <si>
    <t>u(1/D)</t>
  </si>
  <si>
    <t>Longitud (m)</t>
  </si>
  <si>
    <t>mu_0</t>
  </si>
  <si>
    <t>B</t>
  </si>
  <si>
    <t>8,50 A</t>
  </si>
  <si>
    <t>I teorikes</t>
  </si>
  <si>
    <t>50mg</t>
  </si>
  <si>
    <t>mu_o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</si>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</sst>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8484-1AE2-6E4C-8D05-A066D7891E3D}">
  <dimension ref="B3:AA61"/>
  <sheetViews>
    <sheetView topLeftCell="D30" workbookViewId="0">
      <selection activeCell="D62" sqref="D62"/>
    </sheetView>
  </sheetViews>
  <sheetFormatPr baseColWidth="10" defaultRowHeight="16" x14ac:dyDescent="0.2"/>
  <cols>
    <col min="2" max="2" width="12.83203125" bestFit="1" customWidth="1"/>
    <col min="4" max="5" width="12.1640625" bestFit="1" customWidth="1"/>
    <col min="8" max="9" width="12.1640625" bestFit="1" customWidth="1"/>
  </cols>
  <sheetData>
    <row r="3" spans="2:15" x14ac:dyDescent="0.2">
      <c r="O3" t="s">
        <v>39</v>
      </c>
    </row>
    <row r="4" spans="2:15" x14ac:dyDescent="0.2">
      <c r="O4">
        <f>SQRT((2*PI()*0.0081*0.000005*C7)/(4*PI()*10^(-7)*0.3))</f>
        <v>2.57283671265784</v>
      </c>
    </row>
    <row r="5" spans="2:15" x14ac:dyDescent="0.2">
      <c r="K5" t="s">
        <v>38</v>
      </c>
      <c r="O5">
        <f>SQRT((2*PI()*0.0081*0.00001*C7)/(4*PI()*10^(-7)*0.3))</f>
        <v>3.6385405728121265</v>
      </c>
    </row>
    <row r="6" spans="2:15" ht="17" thickBot="1" x14ac:dyDescent="0.25">
      <c r="O6">
        <f>SQRT((2*PI()*0.0081*0.000015*C7)/(4*PI()*10^(-7)*0.3))</f>
        <v>4.4562839059018673</v>
      </c>
    </row>
    <row r="7" spans="2:15" ht="17" thickBot="1" x14ac:dyDescent="0.25">
      <c r="B7" t="s">
        <v>20</v>
      </c>
      <c r="C7" s="1">
        <v>9.8066499999999994</v>
      </c>
      <c r="O7">
        <f>SQRT((2*PI()*0.0081*0.00002*C7)/(4*PI()*10^(-7)*0.3))</f>
        <v>5.1456734253156799</v>
      </c>
    </row>
    <row r="8" spans="2:15" x14ac:dyDescent="0.2">
      <c r="O8">
        <f>SQRT((2*PI()*0.0081*0.000025*C7)/(4*PI()*10^(-7)*0.3))</f>
        <v>5.7530377845100231</v>
      </c>
    </row>
    <row r="9" spans="2:15" x14ac:dyDescent="0.2">
      <c r="D9" s="3"/>
      <c r="E9" s="3"/>
    </row>
    <row r="10" spans="2:15" x14ac:dyDescent="0.2">
      <c r="D10" s="3"/>
    </row>
    <row r="17" spans="2:25" ht="17" thickBot="1" x14ac:dyDescent="0.25"/>
    <row r="18" spans="2:25" ht="17" thickBot="1" x14ac:dyDescent="0.25">
      <c r="B18" t="s">
        <v>1</v>
      </c>
      <c r="C18" s="2">
        <v>5</v>
      </c>
      <c r="D18" s="4" t="s">
        <v>19</v>
      </c>
      <c r="E18" s="5"/>
      <c r="G18" t="s">
        <v>1</v>
      </c>
      <c r="H18" s="2">
        <v>10</v>
      </c>
      <c r="I18" s="4" t="s">
        <v>19</v>
      </c>
      <c r="J18" s="5"/>
      <c r="L18" t="s">
        <v>1</v>
      </c>
      <c r="M18" s="2">
        <v>15</v>
      </c>
      <c r="N18" s="4" t="s">
        <v>19</v>
      </c>
      <c r="O18" s="5"/>
      <c r="Q18" t="s">
        <v>1</v>
      </c>
      <c r="R18" s="2">
        <v>20</v>
      </c>
      <c r="S18" s="1" t="s">
        <v>19</v>
      </c>
      <c r="T18" s="5"/>
      <c r="V18" t="s">
        <v>1</v>
      </c>
      <c r="W18" s="2">
        <v>25</v>
      </c>
      <c r="X18" s="4" t="s">
        <v>19</v>
      </c>
      <c r="Y18" s="5"/>
    </row>
    <row r="20" spans="2:25" x14ac:dyDescent="0.2">
      <c r="B20" t="s">
        <v>2</v>
      </c>
      <c r="C20" s="7">
        <v>2.62</v>
      </c>
      <c r="D20" t="s">
        <v>11</v>
      </c>
      <c r="E20">
        <v>0.01</v>
      </c>
      <c r="G20" t="s">
        <v>2</v>
      </c>
      <c r="H20">
        <v>3.7</v>
      </c>
      <c r="I20" t="s">
        <v>11</v>
      </c>
      <c r="J20">
        <v>0.01</v>
      </c>
      <c r="L20" t="s">
        <v>2</v>
      </c>
      <c r="M20">
        <v>4.47</v>
      </c>
      <c r="N20" t="s">
        <v>11</v>
      </c>
      <c r="O20">
        <v>0.01</v>
      </c>
      <c r="Q20" t="s">
        <v>2</v>
      </c>
      <c r="R20">
        <v>5.0999999999999996</v>
      </c>
      <c r="S20" t="s">
        <v>11</v>
      </c>
      <c r="T20">
        <v>0.01</v>
      </c>
      <c r="V20" t="s">
        <v>2</v>
      </c>
      <c r="W20">
        <v>6.05</v>
      </c>
      <c r="X20" t="s">
        <v>11</v>
      </c>
      <c r="Y20">
        <v>0.01</v>
      </c>
    </row>
    <row r="21" spans="2:25" x14ac:dyDescent="0.2">
      <c r="B21" t="s">
        <v>3</v>
      </c>
      <c r="C21">
        <v>2.5499999999999998</v>
      </c>
      <c r="D21" t="s">
        <v>12</v>
      </c>
      <c r="E21">
        <v>0.01</v>
      </c>
      <c r="G21" t="s">
        <v>3</v>
      </c>
      <c r="H21">
        <v>3.4</v>
      </c>
      <c r="I21" t="s">
        <v>12</v>
      </c>
      <c r="J21">
        <v>0.01</v>
      </c>
      <c r="L21" t="s">
        <v>3</v>
      </c>
      <c r="M21">
        <v>4.46</v>
      </c>
      <c r="N21" t="s">
        <v>12</v>
      </c>
      <c r="O21">
        <v>0.01</v>
      </c>
      <c r="Q21" t="s">
        <v>3</v>
      </c>
      <c r="R21">
        <v>5.29</v>
      </c>
      <c r="S21" t="s">
        <v>12</v>
      </c>
      <c r="T21">
        <v>0.01</v>
      </c>
      <c r="V21" t="s">
        <v>3</v>
      </c>
      <c r="W21">
        <v>5.99</v>
      </c>
      <c r="X21" t="s">
        <v>12</v>
      </c>
      <c r="Y21">
        <v>0.01</v>
      </c>
    </row>
    <row r="22" spans="2:25" x14ac:dyDescent="0.2">
      <c r="B22" t="s">
        <v>4</v>
      </c>
      <c r="C22">
        <v>2.65</v>
      </c>
      <c r="D22" t="s">
        <v>13</v>
      </c>
      <c r="E22">
        <v>0.01</v>
      </c>
      <c r="G22" t="s">
        <v>4</v>
      </c>
      <c r="H22">
        <v>3.58</v>
      </c>
      <c r="I22" t="s">
        <v>13</v>
      </c>
      <c r="J22">
        <v>0.01</v>
      </c>
      <c r="L22" t="s">
        <v>4</v>
      </c>
      <c r="M22">
        <v>4.63</v>
      </c>
      <c r="N22" t="s">
        <v>13</v>
      </c>
      <c r="O22">
        <v>0.01</v>
      </c>
      <c r="Q22" t="s">
        <v>4</v>
      </c>
      <c r="R22">
        <v>5.33</v>
      </c>
      <c r="S22" t="s">
        <v>13</v>
      </c>
      <c r="T22">
        <v>0.01</v>
      </c>
      <c r="V22" t="s">
        <v>4</v>
      </c>
      <c r="W22">
        <v>5.94</v>
      </c>
      <c r="X22" t="s">
        <v>13</v>
      </c>
      <c r="Y22">
        <v>0.01</v>
      </c>
    </row>
    <row r="23" spans="2:25" x14ac:dyDescent="0.2">
      <c r="B23" t="s">
        <v>5</v>
      </c>
      <c r="C23">
        <v>2.62</v>
      </c>
      <c r="D23" t="s">
        <v>14</v>
      </c>
      <c r="E23">
        <v>0.01</v>
      </c>
      <c r="G23" t="s">
        <v>5</v>
      </c>
      <c r="H23">
        <v>3.64</v>
      </c>
      <c r="I23" t="s">
        <v>14</v>
      </c>
      <c r="J23">
        <v>0.01</v>
      </c>
      <c r="L23" t="s">
        <v>5</v>
      </c>
      <c r="M23">
        <v>4.42</v>
      </c>
      <c r="N23" t="s">
        <v>14</v>
      </c>
      <c r="O23">
        <v>0.01</v>
      </c>
      <c r="Q23" t="s">
        <v>5</v>
      </c>
      <c r="R23">
        <v>5.07</v>
      </c>
      <c r="S23" t="s">
        <v>14</v>
      </c>
      <c r="T23">
        <v>0.01</v>
      </c>
      <c r="V23" t="s">
        <v>5</v>
      </c>
      <c r="W23">
        <v>5.4</v>
      </c>
      <c r="X23" t="s">
        <v>14</v>
      </c>
      <c r="Y23">
        <v>0.01</v>
      </c>
    </row>
    <row r="24" spans="2:25" x14ac:dyDescent="0.2">
      <c r="B24" t="s">
        <v>6</v>
      </c>
      <c r="C24">
        <v>2.6</v>
      </c>
      <c r="D24" t="s">
        <v>15</v>
      </c>
      <c r="E24">
        <v>0.01</v>
      </c>
      <c r="G24" t="s">
        <v>6</v>
      </c>
      <c r="H24">
        <v>3.71</v>
      </c>
      <c r="I24" t="s">
        <v>15</v>
      </c>
      <c r="J24">
        <v>0.01</v>
      </c>
      <c r="L24" t="s">
        <v>6</v>
      </c>
      <c r="M24">
        <v>4.5</v>
      </c>
      <c r="N24" t="s">
        <v>15</v>
      </c>
      <c r="O24">
        <v>0.01</v>
      </c>
      <c r="Q24" t="s">
        <v>6</v>
      </c>
      <c r="R24">
        <v>5.21</v>
      </c>
      <c r="S24" t="s">
        <v>15</v>
      </c>
      <c r="T24">
        <v>0.01</v>
      </c>
      <c r="V24" t="s">
        <v>6</v>
      </c>
      <c r="W24">
        <v>5.56</v>
      </c>
      <c r="X24" t="s">
        <v>15</v>
      </c>
      <c r="Y24">
        <v>0.01</v>
      </c>
    </row>
    <row r="25" spans="2:25" x14ac:dyDescent="0.2">
      <c r="B25" t="s">
        <v>7</v>
      </c>
      <c r="C25">
        <v>2.57</v>
      </c>
      <c r="D25" t="s">
        <v>16</v>
      </c>
      <c r="E25">
        <v>0.01</v>
      </c>
      <c r="G25" t="s">
        <v>7</v>
      </c>
      <c r="H25">
        <v>3.68</v>
      </c>
      <c r="I25" t="s">
        <v>16</v>
      </c>
      <c r="J25">
        <v>0.01</v>
      </c>
      <c r="L25" t="s">
        <v>7</v>
      </c>
      <c r="M25">
        <v>4.4800000000000004</v>
      </c>
      <c r="N25" t="s">
        <v>16</v>
      </c>
      <c r="O25">
        <v>0.01</v>
      </c>
      <c r="Q25" t="s">
        <v>7</v>
      </c>
      <c r="R25">
        <v>5.1100000000000003</v>
      </c>
      <c r="S25" t="s">
        <v>16</v>
      </c>
      <c r="T25">
        <v>0.01</v>
      </c>
      <c r="V25" t="s">
        <v>7</v>
      </c>
      <c r="W25">
        <v>5.63</v>
      </c>
      <c r="X25" t="s">
        <v>16</v>
      </c>
      <c r="Y25">
        <v>0.01</v>
      </c>
    </row>
    <row r="26" spans="2:25" x14ac:dyDescent="0.2">
      <c r="B26" t="s">
        <v>8</v>
      </c>
      <c r="D26" t="s">
        <v>17</v>
      </c>
      <c r="G26" t="s">
        <v>8</v>
      </c>
      <c r="I26" t="s">
        <v>17</v>
      </c>
      <c r="L26" t="s">
        <v>8</v>
      </c>
      <c r="N26" t="s">
        <v>17</v>
      </c>
      <c r="Q26" t="s">
        <v>8</v>
      </c>
      <c r="S26" t="s">
        <v>17</v>
      </c>
      <c r="V26" t="s">
        <v>8</v>
      </c>
      <c r="X26" t="s">
        <v>17</v>
      </c>
    </row>
    <row r="27" spans="2:25" x14ac:dyDescent="0.2">
      <c r="B27" t="s">
        <v>9</v>
      </c>
      <c r="D27" t="s">
        <v>18</v>
      </c>
      <c r="G27" t="s">
        <v>9</v>
      </c>
      <c r="I27" t="s">
        <v>18</v>
      </c>
      <c r="L27" t="s">
        <v>9</v>
      </c>
      <c r="N27" t="s">
        <v>18</v>
      </c>
      <c r="Q27" t="s">
        <v>9</v>
      </c>
      <c r="S27" t="s">
        <v>18</v>
      </c>
      <c r="V27" t="s">
        <v>9</v>
      </c>
      <c r="X27" t="s">
        <v>18</v>
      </c>
    </row>
    <row r="29" spans="2:25" x14ac:dyDescent="0.2">
      <c r="B29" t="s">
        <v>10</v>
      </c>
      <c r="C29">
        <f>AVERAGE(C20:C27)</f>
        <v>2.601666666666667</v>
      </c>
      <c r="E29">
        <f>SQRT(SUMSQ(E20:E27)/8+STDEV(C20:C23)/4)</f>
        <v>0.10335183461263875</v>
      </c>
      <c r="G29" t="s">
        <v>10</v>
      </c>
      <c r="H29">
        <f>AVERAGE(H20:H27)</f>
        <v>3.6183333333333336</v>
      </c>
      <c r="J29">
        <f>SQRT(SUMSQ(J20:J27)/8+STDEV(H20:H23)/4)</f>
        <v>0.18021848820817282</v>
      </c>
      <c r="L29" t="s">
        <v>10</v>
      </c>
      <c r="M29">
        <f>AVERAGE(M20:M27)</f>
        <v>4.4933333333333332</v>
      </c>
      <c r="O29">
        <f>SQRT(SUMSQ(O20:O27)/8+STDEV(M20:M23)/4)</f>
        <v>0.15236164968540486</v>
      </c>
      <c r="Q29" t="s">
        <v>10</v>
      </c>
      <c r="R29">
        <f>AVERAGE(R20:R27)</f>
        <v>5.1849999999999996</v>
      </c>
      <c r="T29">
        <f>SQRT(SUMSQ(T20:T27)/8+STDEV(R20:R23)/4)</f>
        <v>0.18151982122059646</v>
      </c>
      <c r="V29" t="s">
        <v>10</v>
      </c>
      <c r="W29">
        <f>AVERAGE(W20:W27)</f>
        <v>5.7616666666666667</v>
      </c>
      <c r="Y29">
        <f>SQRT(SUMSQ(Y20:Y27)/8+STDEV(W20:W23)/4)</f>
        <v>0.27402351651476692</v>
      </c>
    </row>
    <row r="35" spans="2:27" x14ac:dyDescent="0.2">
      <c r="B35" t="s">
        <v>22</v>
      </c>
      <c r="C35" t="s">
        <v>21</v>
      </c>
      <c r="E35" t="s">
        <v>23</v>
      </c>
      <c r="F35" t="s">
        <v>24</v>
      </c>
    </row>
    <row r="36" spans="2:27" x14ac:dyDescent="0.2">
      <c r="X36" t="s">
        <v>40</v>
      </c>
    </row>
    <row r="37" spans="2:27" x14ac:dyDescent="0.2">
      <c r="B37">
        <f>C29^2</f>
        <v>6.7686694444444466</v>
      </c>
      <c r="C37">
        <f>2*E29*C29</f>
        <v>0.53777404610109703</v>
      </c>
      <c r="E37">
        <f>C18/10^6*C7</f>
        <v>4.903325E-5</v>
      </c>
    </row>
    <row r="38" spans="2:27" x14ac:dyDescent="0.2">
      <c r="B38">
        <f>H29^2</f>
        <v>13.092336111111113</v>
      </c>
      <c r="C38">
        <f>2*J29*H29</f>
        <v>1.3041811263331442</v>
      </c>
      <c r="E38">
        <f>H18/10^6*C7</f>
        <v>9.80665E-5</v>
      </c>
      <c r="X38" t="s">
        <v>2</v>
      </c>
      <c r="Y38" s="7">
        <v>8.5</v>
      </c>
      <c r="Z38" t="s">
        <v>11</v>
      </c>
      <c r="AA38">
        <v>0.01</v>
      </c>
    </row>
    <row r="39" spans="2:27" x14ac:dyDescent="0.2">
      <c r="B39">
        <f>M29^2</f>
        <v>20.190044444444442</v>
      </c>
      <c r="C39">
        <f>2*O29*M29</f>
        <v>1.3692233585061717</v>
      </c>
      <c r="E39">
        <f>M18/10^6*C7</f>
        <v>1.4709974999999999E-4</v>
      </c>
      <c r="X39" t="s">
        <v>3</v>
      </c>
      <c r="Y39">
        <v>8.6300000000000008</v>
      </c>
      <c r="Z39" t="s">
        <v>12</v>
      </c>
      <c r="AA39">
        <v>0.01</v>
      </c>
    </row>
    <row r="40" spans="2:27" x14ac:dyDescent="0.2">
      <c r="B40">
        <f>R29^2</f>
        <v>26.884224999999997</v>
      </c>
      <c r="C40">
        <f>2*T29*R29</f>
        <v>1.8823605460575852</v>
      </c>
      <c r="E40">
        <f>R18/10^6*C7</f>
        <v>1.96133E-4</v>
      </c>
      <c r="X40" t="s">
        <v>4</v>
      </c>
      <c r="Y40">
        <v>8.48</v>
      </c>
      <c r="Z40" t="s">
        <v>13</v>
      </c>
      <c r="AA40">
        <v>0.01</v>
      </c>
    </row>
    <row r="41" spans="2:27" x14ac:dyDescent="0.2">
      <c r="B41">
        <f>W29^2</f>
        <v>33.196802777777776</v>
      </c>
      <c r="C41">
        <f>2*Y29*W29</f>
        <v>3.157664321971831</v>
      </c>
      <c r="E41">
        <f>W18/10^6*C7</f>
        <v>2.4516624999999998E-4</v>
      </c>
      <c r="X41" t="s">
        <v>5</v>
      </c>
      <c r="Y41">
        <v>8.5500000000000007</v>
      </c>
      <c r="Z41" t="s">
        <v>14</v>
      </c>
      <c r="AA41">
        <v>0.01</v>
      </c>
    </row>
    <row r="47" spans="2:27" x14ac:dyDescent="0.2">
      <c r="B47" t="s">
        <v>25</v>
      </c>
    </row>
    <row r="48" spans="2:27" x14ac:dyDescent="0.2">
      <c r="G48" t="s">
        <v>41</v>
      </c>
      <c r="H48">
        <f>B49*2*PI()*8.1*10^-3/0.3</f>
        <v>1.2476215917006205E-6</v>
      </c>
      <c r="I48">
        <f>2*PI()*SQRT((B50*I57/I56)^2+(J57*B49/I56)^2+(J56*B49*I57/I56^2)^2)</f>
        <v>4.649603184711204E-8</v>
      </c>
    </row>
    <row r="49" spans="2:10" x14ac:dyDescent="0.2">
      <c r="B49">
        <f t="array" ref="B49:C52">LINEST(E37:E41,B37:B41,TRUE,TRUE)</f>
        <v>7.3542645713826712E-6</v>
      </c>
      <c r="C49">
        <v>-1.7980841200904629E-7</v>
      </c>
    </row>
    <row r="50" spans="2:10" x14ac:dyDescent="0.2">
      <c r="B50">
        <v>8.2340583929114336E-8</v>
      </c>
      <c r="C50">
        <v>1.8225568158875492E-6</v>
      </c>
    </row>
    <row r="51" spans="2:10" x14ac:dyDescent="0.2">
      <c r="B51">
        <v>0.99962406968786133</v>
      </c>
      <c r="C51">
        <v>1.7357362165004127E-6</v>
      </c>
    </row>
    <row r="52" spans="2:10" x14ac:dyDescent="0.2">
      <c r="B52">
        <v>7977.2024554324889</v>
      </c>
      <c r="C52">
        <v>3</v>
      </c>
    </row>
    <row r="56" spans="2:10" x14ac:dyDescent="0.2">
      <c r="H56" t="s">
        <v>42</v>
      </c>
      <c r="I56">
        <v>0.3</v>
      </c>
      <c r="J56">
        <v>0.01</v>
      </c>
    </row>
    <row r="57" spans="2:10" x14ac:dyDescent="0.2">
      <c r="H57" t="s">
        <v>43</v>
      </c>
      <c r="I57">
        <f>8.1*10^-3</f>
        <v>8.0999999999999996E-3</v>
      </c>
      <c r="J57">
        <v>1E-4</v>
      </c>
    </row>
    <row r="61" spans="2:10" x14ac:dyDescent="0.2">
      <c r="D61">
        <f>4*PI()*10^-7</f>
        <v>1.2566370614359173E-6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25AA-9183-9A46-95A3-7C9D34110A0C}">
  <dimension ref="B6:P39"/>
  <sheetViews>
    <sheetView topLeftCell="F1" zoomScale="80" zoomScaleNormal="80" workbookViewId="0">
      <selection activeCell="M36" sqref="M36"/>
    </sheetView>
  </sheetViews>
  <sheetFormatPr baseColWidth="10" defaultRowHeight="16" x14ac:dyDescent="0.2"/>
  <cols>
    <col min="2" max="3" width="12.1640625" bestFit="1" customWidth="1"/>
    <col min="10" max="10" width="11.33203125" customWidth="1"/>
    <col min="11" max="11" width="12.83203125" bestFit="1" customWidth="1"/>
    <col min="14" max="14" width="12.83203125" bestFit="1" customWidth="1"/>
  </cols>
  <sheetData>
    <row r="6" spans="2:16" ht="17" thickBot="1" x14ac:dyDescent="0.25"/>
    <row r="7" spans="2:16" ht="17" thickBot="1" x14ac:dyDescent="0.25">
      <c r="C7" t="s">
        <v>20</v>
      </c>
      <c r="D7" s="1">
        <v>9.8066499999999994</v>
      </c>
    </row>
    <row r="8" spans="2:16" ht="17" thickBot="1" x14ac:dyDescent="0.25">
      <c r="J8" t="s">
        <v>35</v>
      </c>
      <c r="K8" s="1">
        <v>0.3</v>
      </c>
    </row>
    <row r="9" spans="2:16" ht="17" thickBot="1" x14ac:dyDescent="0.25">
      <c r="J9" t="s">
        <v>0</v>
      </c>
      <c r="K9" s="1">
        <v>5.37</v>
      </c>
    </row>
    <row r="12" spans="2:16" x14ac:dyDescent="0.2">
      <c r="B12" t="s">
        <v>26</v>
      </c>
    </row>
    <row r="13" spans="2:16" x14ac:dyDescent="0.2">
      <c r="I13" s="6" t="s">
        <v>29</v>
      </c>
      <c r="J13" s="6" t="s">
        <v>30</v>
      </c>
      <c r="K13" s="6" t="s">
        <v>27</v>
      </c>
      <c r="L13" s="6" t="s">
        <v>31</v>
      </c>
      <c r="M13" s="6" t="s">
        <v>32</v>
      </c>
      <c r="N13" s="6" t="s">
        <v>24</v>
      </c>
      <c r="O13" s="6" t="s">
        <v>33</v>
      </c>
      <c r="P13" s="6" t="s">
        <v>34</v>
      </c>
    </row>
    <row r="14" spans="2:16" x14ac:dyDescent="0.2">
      <c r="B14" t="s">
        <v>1</v>
      </c>
      <c r="C14" t="s">
        <v>28</v>
      </c>
      <c r="D14" t="s">
        <v>27</v>
      </c>
      <c r="I14" s="6">
        <v>0.01</v>
      </c>
      <c r="J14" s="6">
        <v>1E-3</v>
      </c>
      <c r="K14" s="6">
        <v>64</v>
      </c>
      <c r="L14" s="6">
        <v>1</v>
      </c>
      <c r="M14" s="6">
        <f>K14*$B$24</f>
        <v>2.059859968492911E-4</v>
      </c>
      <c r="N14" s="6">
        <f>SQRT($B$25^2*K14^2+L14^2*$B$24^2)</f>
        <v>1.5219222705947065E-5</v>
      </c>
      <c r="O14" s="6">
        <f>1/I14</f>
        <v>100</v>
      </c>
      <c r="P14" s="6">
        <f>J14/I14^2</f>
        <v>10</v>
      </c>
    </row>
    <row r="15" spans="2:16" x14ac:dyDescent="0.2">
      <c r="B15">
        <v>5</v>
      </c>
      <c r="C15">
        <f>$D$7*B15/10^6</f>
        <v>4.9033249999999993E-5</v>
      </c>
      <c r="D15">
        <v>13</v>
      </c>
      <c r="I15" s="6">
        <v>8.9999999999999993E-3</v>
      </c>
      <c r="J15" s="6">
        <v>1E-3</v>
      </c>
      <c r="K15" s="6">
        <v>63</v>
      </c>
      <c r="L15" s="6">
        <v>1</v>
      </c>
      <c r="M15" s="6">
        <f>K15*$B$24</f>
        <v>2.0276746564852093E-4</v>
      </c>
      <c r="N15" s="6">
        <f>SQRT($B$25^2*K15^2+L15^2*$B$24^2)</f>
        <v>1.4992138059555343E-5</v>
      </c>
      <c r="O15" s="6">
        <f t="shared" ref="O15:O19" si="0">1/I15</f>
        <v>111.11111111111111</v>
      </c>
      <c r="P15" s="6">
        <f t="shared" ref="P15:P19" si="1">J15/I15^2</f>
        <v>12.345679012345681</v>
      </c>
    </row>
    <row r="16" spans="2:16" x14ac:dyDescent="0.2">
      <c r="B16">
        <v>10</v>
      </c>
      <c r="C16">
        <f t="shared" ref="C16:C18" si="2">$D$7*B16/10^6</f>
        <v>9.8066499999999987E-5</v>
      </c>
      <c r="D16">
        <v>27</v>
      </c>
      <c r="I16" s="6">
        <v>8.0000000000000002E-3</v>
      </c>
      <c r="J16" s="6">
        <v>1E-3</v>
      </c>
      <c r="K16" s="6">
        <v>65</v>
      </c>
      <c r="L16" s="6">
        <v>1</v>
      </c>
      <c r="M16" s="6">
        <f t="shared" ref="M16:M19" si="3">K16*$B$24</f>
        <v>2.0920452805006128E-4</v>
      </c>
      <c r="N16" s="6">
        <f>SQRT($B$25^2*K16^2+L16^2*$B$24^2)</f>
        <v>1.544646612948891E-5</v>
      </c>
      <c r="O16" s="6">
        <f t="shared" si="0"/>
        <v>125</v>
      </c>
      <c r="P16" s="6">
        <f t="shared" si="1"/>
        <v>15.625000000000002</v>
      </c>
    </row>
    <row r="17" spans="2:16" x14ac:dyDescent="0.2">
      <c r="B17">
        <v>15</v>
      </c>
      <c r="C17">
        <f t="shared" si="2"/>
        <v>1.4709974999999999E-4</v>
      </c>
      <c r="D17">
        <v>44</v>
      </c>
      <c r="I17" s="6">
        <v>7.0000000000000001E-3</v>
      </c>
      <c r="J17" s="6">
        <v>1E-3</v>
      </c>
      <c r="K17" s="6">
        <v>87</v>
      </c>
      <c r="L17" s="6">
        <v>1</v>
      </c>
      <c r="M17" s="6">
        <f t="shared" si="3"/>
        <v>2.8001221446700508E-4</v>
      </c>
      <c r="N17" s="6">
        <f>SQRT($B$25^2*K17^2+L17^2*$B$24^2)</f>
        <v>2.0475255681250565E-5</v>
      </c>
      <c r="O17" s="6">
        <f t="shared" si="0"/>
        <v>142.85714285714286</v>
      </c>
      <c r="P17" s="6">
        <f t="shared" si="1"/>
        <v>20.408163265306122</v>
      </c>
    </row>
    <row r="18" spans="2:16" x14ac:dyDescent="0.2">
      <c r="B18">
        <v>20</v>
      </c>
      <c r="C18">
        <f t="shared" si="2"/>
        <v>1.9613299999999997E-4</v>
      </c>
      <c r="D18">
        <v>63</v>
      </c>
      <c r="I18" s="6">
        <v>6.0000000000000001E-3</v>
      </c>
      <c r="J18" s="6">
        <v>1E-3</v>
      </c>
      <c r="K18" s="6">
        <v>129</v>
      </c>
      <c r="L18" s="6">
        <v>1</v>
      </c>
      <c r="M18" s="6">
        <f t="shared" si="3"/>
        <v>4.1519052489935235E-4</v>
      </c>
      <c r="N18" s="6">
        <f t="shared" ref="N18:N19" si="4">SQRT($B$25^2*K18^2+L18^2*$B$24^2)</f>
        <v>3.0154688890526448E-5</v>
      </c>
      <c r="O18" s="6">
        <f t="shared" si="0"/>
        <v>166.66666666666666</v>
      </c>
      <c r="P18" s="6">
        <f t="shared" si="1"/>
        <v>27.777777777777779</v>
      </c>
    </row>
    <row r="19" spans="2:16" x14ac:dyDescent="0.2">
      <c r="B19">
        <v>25</v>
      </c>
      <c r="C19">
        <f>$D$7*B19/10^6</f>
        <v>2.4516624999999998E-4</v>
      </c>
      <c r="D19">
        <v>70</v>
      </c>
      <c r="I19" s="6">
        <v>5.0000000000000001E-3</v>
      </c>
      <c r="J19" s="6">
        <v>1E-3</v>
      </c>
      <c r="K19" s="6">
        <v>186</v>
      </c>
      <c r="L19" s="6">
        <v>1</v>
      </c>
      <c r="M19" s="6">
        <f t="shared" si="3"/>
        <v>5.9864680334325226E-4</v>
      </c>
      <c r="N19" s="6">
        <f t="shared" si="4"/>
        <v>4.3350130582482907E-5</v>
      </c>
      <c r="O19" s="6">
        <f t="shared" si="0"/>
        <v>200</v>
      </c>
      <c r="P19" s="6">
        <f t="shared" si="1"/>
        <v>40</v>
      </c>
    </row>
    <row r="20" spans="2:16" x14ac:dyDescent="0.2">
      <c r="I20" s="6"/>
      <c r="J20" s="6"/>
      <c r="K20" s="6"/>
      <c r="L20" s="6"/>
      <c r="M20" s="6"/>
      <c r="N20" s="6"/>
      <c r="O20" s="6"/>
      <c r="P20" s="6"/>
    </row>
    <row r="21" spans="2:16" x14ac:dyDescent="0.2">
      <c r="I21" s="6"/>
      <c r="J21" s="6"/>
      <c r="K21" s="6"/>
      <c r="L21" s="6"/>
      <c r="M21" s="6"/>
      <c r="N21" s="6"/>
      <c r="O21" s="6"/>
      <c r="P21" s="6"/>
    </row>
    <row r="24" spans="2:16" x14ac:dyDescent="0.2">
      <c r="B24">
        <f t="array" ref="B24:C28">LINEST(C15:C19,D15:D19,TRUE,TRUE)</f>
        <v>3.2185312007701735E-6</v>
      </c>
      <c r="C24">
        <v>7.4154958865744612E-6</v>
      </c>
    </row>
    <row r="25" spans="2:16" x14ac:dyDescent="0.2">
      <c r="B25">
        <v>2.3242196516956424E-7</v>
      </c>
      <c r="C25">
        <v>1.1244516064829829E-5</v>
      </c>
    </row>
    <row r="26" spans="2:16" x14ac:dyDescent="0.2">
      <c r="B26">
        <v>0.98459653422019944</v>
      </c>
      <c r="C26">
        <v>1.1110645129790096E-5</v>
      </c>
      <c r="J26">
        <f t="array" ref="J26:K30">LINEST(M14:M19,O14:O19,TRUE,TRUE)</f>
        <v>4.1241368186761258E-6</v>
      </c>
      <c r="K26">
        <v>-2.6261776301520943E-4</v>
      </c>
    </row>
    <row r="27" spans="2:16" x14ac:dyDescent="0.2">
      <c r="B27">
        <v>191.76136363636354</v>
      </c>
      <c r="C27">
        <v>3</v>
      </c>
      <c r="J27">
        <v>5.5852979400369974E-7</v>
      </c>
      <c r="K27">
        <v>8.0988945101621317E-5</v>
      </c>
    </row>
    <row r="28" spans="2:16" x14ac:dyDescent="0.2">
      <c r="B28">
        <v>2.3672256750024607E-8</v>
      </c>
      <c r="C28">
        <v>3.703393056003851E-10</v>
      </c>
      <c r="J28">
        <v>0.93164987957469303</v>
      </c>
      <c r="K28">
        <v>4.6641586177654433E-5</v>
      </c>
    </row>
    <row r="29" spans="2:16" x14ac:dyDescent="0.2">
      <c r="J29">
        <v>54.522208521508048</v>
      </c>
      <c r="K29">
        <v>4</v>
      </c>
    </row>
    <row r="30" spans="2:16" x14ac:dyDescent="0.2">
      <c r="J30">
        <v>1.186096603354989E-7</v>
      </c>
      <c r="K30">
        <v>8.70175024467026E-9</v>
      </c>
    </row>
    <row r="36" spans="10:11" x14ac:dyDescent="0.2">
      <c r="J36" t="s">
        <v>36</v>
      </c>
      <c r="K36">
        <f>(J26*2*3.14159)/(K8*K9^2)</f>
        <v>2.9953166459604952E-6</v>
      </c>
    </row>
    <row r="38" spans="10:11" x14ac:dyDescent="0.2">
      <c r="K38">
        <f>4*PI()*10^-7</f>
        <v>1.2566370614359173E-6</v>
      </c>
    </row>
    <row r="39" spans="10:11" x14ac:dyDescent="0.2">
      <c r="K39">
        <f>(K36-K38)/K36</f>
        <v>0.58046603749535908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898E2-11A0-F549-B394-023F5458E994}">
  <dimension ref="C5:H30"/>
  <sheetViews>
    <sheetView tabSelected="1" workbookViewId="0">
      <selection activeCell="H30" sqref="H30"/>
    </sheetView>
  </sheetViews>
  <sheetFormatPr baseColWidth="10" defaultRowHeight="16" x14ac:dyDescent="0.2"/>
  <cols>
    <col min="3" max="3" width="11.83203125" customWidth="1"/>
    <col min="4" max="5" width="12.1640625" bestFit="1" customWidth="1"/>
    <col min="7" max="8" width="12.1640625" bestFit="1" customWidth="1"/>
  </cols>
  <sheetData>
    <row r="5" spans="3:8" ht="17" thickBot="1" x14ac:dyDescent="0.25"/>
    <row r="6" spans="3:8" ht="17" thickBot="1" x14ac:dyDescent="0.25">
      <c r="C6" t="s">
        <v>20</v>
      </c>
      <c r="D6" s="1">
        <v>9.8066499999999994</v>
      </c>
      <c r="F6" t="s">
        <v>35</v>
      </c>
      <c r="G6" s="1">
        <v>0.3</v>
      </c>
      <c r="H6">
        <v>0.01</v>
      </c>
    </row>
    <row r="7" spans="3:8" ht="17" thickBot="1" x14ac:dyDescent="0.25"/>
    <row r="8" spans="3:8" ht="17" thickBot="1" x14ac:dyDescent="0.25">
      <c r="C8" t="s">
        <v>0</v>
      </c>
      <c r="D8" s="1">
        <v>6.06</v>
      </c>
      <c r="E8">
        <v>0.01</v>
      </c>
      <c r="F8" t="s">
        <v>27</v>
      </c>
      <c r="G8" s="1">
        <v>8</v>
      </c>
      <c r="H8">
        <v>1</v>
      </c>
    </row>
    <row r="9" spans="3:8" x14ac:dyDescent="0.2">
      <c r="D9">
        <v>6.13</v>
      </c>
      <c r="E9">
        <v>0.01</v>
      </c>
      <c r="G9">
        <v>8</v>
      </c>
      <c r="H9">
        <v>1</v>
      </c>
    </row>
    <row r="10" spans="3:8" x14ac:dyDescent="0.2">
      <c r="D10">
        <v>6.57</v>
      </c>
      <c r="E10">
        <v>0.01</v>
      </c>
      <c r="G10">
        <v>12</v>
      </c>
      <c r="H10">
        <v>1</v>
      </c>
    </row>
    <row r="12" spans="3:8" x14ac:dyDescent="0.2">
      <c r="C12" t="s">
        <v>37</v>
      </c>
      <c r="D12">
        <f>G8*'Força vs separacio'!B24/(D8*G6)</f>
        <v>1.416295357874664E-5</v>
      </c>
      <c r="E12">
        <f>SQRT((E23/(G6*D8))^2+(H6*D23/(D8*G6^2))^2+(E8*D23/(G6*D8^2))^2)</f>
        <v>3.3778975845127556E-6</v>
      </c>
      <c r="G12">
        <f>D12*10^9</f>
        <v>14162.953578746639</v>
      </c>
      <c r="H12">
        <f>E12*10^9</f>
        <v>3377.8975845127557</v>
      </c>
    </row>
    <row r="13" spans="3:8" x14ac:dyDescent="0.2">
      <c r="C13" t="s">
        <v>37</v>
      </c>
      <c r="D13">
        <f>G9*'Força vs separacio'!B24/(D9*G6)</f>
        <v>1.4001223276868618E-5</v>
      </c>
      <c r="E13">
        <f>SQRT((E24/(G6*D9))^2+(H6*D24/(D9*G6^2))^2+(E9*D24/(G6*D9^2))^2)</f>
        <v>3.3393227138884864E-6</v>
      </c>
      <c r="G13">
        <f t="shared" ref="G13:H14" si="0">D13*10^9</f>
        <v>14001.223276868617</v>
      </c>
      <c r="H13">
        <f t="shared" si="0"/>
        <v>3339.3227138884863</v>
      </c>
    </row>
    <row r="14" spans="3:8" x14ac:dyDescent="0.2">
      <c r="C14" t="s">
        <v>37</v>
      </c>
      <c r="D14">
        <f>G10*'Força vs separacio'!B24/(D10*G6)</f>
        <v>1.9595319334978221E-5</v>
      </c>
      <c r="E14">
        <f>SQRT((E25/(G6*D10))^2+(H6*D25/(D10*G6^2))^2+(E10*D25/(G6*D10^2))^2)</f>
        <v>4.0458628880869731E-6</v>
      </c>
      <c r="G14">
        <f t="shared" si="0"/>
        <v>19595.31933497822</v>
      </c>
      <c r="H14">
        <f t="shared" si="0"/>
        <v>4045.8628880869733</v>
      </c>
    </row>
    <row r="18" spans="4:8" x14ac:dyDescent="0.2">
      <c r="G18">
        <f>AVERAGE(D12:D14)</f>
        <v>1.5919832063531161E-5</v>
      </c>
      <c r="H18">
        <f>STDEV(D12:D14)/SQRT(3)</f>
        <v>1.8383365836686358E-6</v>
      </c>
    </row>
    <row r="23" spans="4:8" x14ac:dyDescent="0.2">
      <c r="D23">
        <f>G8*'Força vs separacio'!B24</f>
        <v>2.5748249606161388E-5</v>
      </c>
      <c r="E23">
        <f>SQRT((G8*'Força vs separacio'!J27)^2+('Força vs separacio'!J26*'Camp de la Terra'!H8)^2)</f>
        <v>6.0805968843287258E-6</v>
      </c>
    </row>
    <row r="24" spans="4:8" x14ac:dyDescent="0.2">
      <c r="D24">
        <f>G9*'Força vs separacio'!B24</f>
        <v>2.5748249606161388E-5</v>
      </c>
      <c r="E24">
        <f>SQRT((G9*'Força vs separacio'!J27)^2+('Força vs separacio'!J26*'Camp de la Terra'!H9)^2)</f>
        <v>6.0805968843287258E-6</v>
      </c>
    </row>
    <row r="25" spans="4:8" x14ac:dyDescent="0.2">
      <c r="D25">
        <f>G10*'Força vs separacio'!B24</f>
        <v>3.8622374409242078E-5</v>
      </c>
      <c r="E25">
        <f>SQRT((G10*'Força vs separacio'!J27)^2+('Força vs separacio'!J26*'Camp de la Terra'!H10)^2)</f>
        <v>7.8695680270834067E-6</v>
      </c>
    </row>
    <row r="29" spans="4:8" x14ac:dyDescent="0.2">
      <c r="H29">
        <f>G18+H18</f>
        <v>1.7758168647199797E-5</v>
      </c>
    </row>
    <row r="30" spans="4:8" x14ac:dyDescent="0.2">
      <c r="H30">
        <f>24700*10^-9</f>
        <v>2.4700000000000001E-5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Força vs corrent</vt:lpstr>
      <vt:lpstr>Força vs separacio</vt:lpstr>
      <vt:lpstr>Camp de la Terra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2018-03-17T16:05:44Z</dcterms:created>
  <dcterms:modified xsi:type="dcterms:W3CDTF">2018-03-19T22:05:17Z</dcterms:modified>
</cp:coreProperties>
</file>