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eth/Library/CloudStorage/OneDrive-iCapitalNetwork/GMAM/Excel/"/>
    </mc:Choice>
  </mc:AlternateContent>
  <xr:revisionPtr revIDLastSave="0" documentId="13_ncr:1_{E5722F0A-8568-8440-A763-533D19FAE546}" xr6:coauthVersionLast="47" xr6:coauthVersionMax="47" xr10:uidLastSave="{00000000-0000-0000-0000-000000000000}"/>
  <bookViews>
    <workbookView xWindow="0" yWindow="760" windowWidth="30240" windowHeight="17400" activeTab="8" xr2:uid="{D2D673ED-614C-874E-A818-2896FCBD6C2E}"/>
  </bookViews>
  <sheets>
    <sheet name="global" sheetId="5" r:id="rId1"/>
    <sheet name="cv" sheetId="28" r:id="rId2"/>
    <sheet name="live" sheetId="16" r:id="rId3"/>
    <sheet name="stoprules" sheetId="21" r:id="rId4"/>
    <sheet name="factors" sheetId="12" r:id="rId5"/>
    <sheet name="assets" sheetId="14" r:id="rId6"/>
    <sheet name="diagnostics" sheetId="9" r:id="rId7"/>
    <sheet name="io" sheetId="8" r:id="rId8"/>
    <sheet name="paths" sheetId="1" r:id="rId9"/>
    <sheet name="histpriors" sheetId="30" r:id="rId10"/>
    <sheet name="ref_histpriors_old" sheetId="25" r:id="rId11"/>
    <sheet name="testpriors" sheetId="3" r:id="rId12"/>
    <sheet name="testpriorsq" sheetId="17" r:id="rId13"/>
    <sheet name="testpriorsmf" sheetId="26" r:id="rId14"/>
    <sheet name="ref_priorcalcs" sheetId="19" r:id="rId15"/>
    <sheet name="simulate" sheetId="7" r:id="rId16"/>
    <sheet name="testpriorssim" sheetId="20" r:id="rId17"/>
    <sheet name="debug" sheetId="10" r:id="rId18"/>
    <sheet name="ref_preqinfundslist" sheetId="23" r:id="rId19"/>
    <sheet name="testpriorsGT" sheetId="22" r:id="rId20"/>
  </sheets>
  <externalReferences>
    <externalReference r:id="rId21"/>
  </externalReferences>
  <definedNames>
    <definedName name="_xlnm._FilterDatabase" localSheetId="18" hidden="1">ref_preqinfundslist!$B$1:$D$146</definedName>
    <definedName name="crspfrequencysuffix">[1]data!$C$14</definedName>
    <definedName name="crspfrequencytype">[1]data!#REF!</definedName>
    <definedName name="crsptypesuffix">[1]data!$C$13</definedName>
    <definedName name="solver_adj" localSheetId="14" hidden="1">ref_priorcalcs!$E$33:$E$34</definedName>
    <definedName name="solver_cvg" localSheetId="14" hidden="1">0.0001</definedName>
    <definedName name="solver_drv" localSheetId="14" hidden="1">1</definedName>
    <definedName name="solver_eng" localSheetId="14" hidden="1">1</definedName>
    <definedName name="solver_itr" localSheetId="14" hidden="1">2147483647</definedName>
    <definedName name="solver_lin" localSheetId="14" hidden="1">2</definedName>
    <definedName name="solver_mip" localSheetId="14" hidden="1">2147483647</definedName>
    <definedName name="solver_mni" localSheetId="14" hidden="1">30</definedName>
    <definedName name="solver_mrt" localSheetId="14" hidden="1">0.075</definedName>
    <definedName name="solver_msl" localSheetId="14" hidden="1">2</definedName>
    <definedName name="solver_neg" localSheetId="14" hidden="1">1</definedName>
    <definedName name="solver_nod" localSheetId="14" hidden="1">2147483647</definedName>
    <definedName name="solver_num" localSheetId="14" hidden="1">0</definedName>
    <definedName name="solver_opt" localSheetId="14" hidden="1">ref_priorcalcs!$E$40</definedName>
    <definedName name="solver_pre" localSheetId="14" hidden="1">0.000001</definedName>
    <definedName name="solver_rbv" localSheetId="14" hidden="1">1</definedName>
    <definedName name="solver_rlx" localSheetId="14" hidden="1">2</definedName>
    <definedName name="solver_rsd" localSheetId="14" hidden="1">0</definedName>
    <definedName name="solver_scl" localSheetId="14" hidden="1">1</definedName>
    <definedName name="solver_sho" localSheetId="14" hidden="1">2</definedName>
    <definedName name="solver_ssz" localSheetId="14" hidden="1">100</definedName>
    <definedName name="solver_tim" localSheetId="14" hidden="1">2147483647</definedName>
    <definedName name="solver_tol" localSheetId="14" hidden="1">0.01</definedName>
    <definedName name="solver_typ" localSheetId="14" hidden="1">2</definedName>
    <definedName name="solver_val" localSheetId="14" hidden="1">0</definedName>
    <definedName name="solver_ver" localSheetId="1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9" l="1"/>
  <c r="E39" i="19"/>
  <c r="F39" i="19" s="1"/>
  <c r="E46" i="19" l="1"/>
  <c r="E48" i="19" s="1"/>
  <c r="E37" i="19"/>
  <c r="E47" i="19" l="1"/>
  <c r="E49" i="19" s="1"/>
  <c r="E24" i="19"/>
  <c r="E50" i="19" l="1"/>
  <c r="F50" i="19" s="1"/>
  <c r="E22" i="19"/>
  <c r="E23" i="19" s="1"/>
  <c r="F22" i="19" s="1"/>
  <c r="E21" i="19"/>
  <c r="E25" i="19" s="1"/>
  <c r="F26" i="19" s="1"/>
  <c r="F18" i="19"/>
  <c r="P25" i="19"/>
  <c r="P27" i="19"/>
  <c r="P23" i="19"/>
  <c r="P22" i="19"/>
  <c r="P26" i="19" s="1"/>
  <c r="P28" i="19" s="1"/>
  <c r="E18" i="19" l="1"/>
  <c r="F23" i="19"/>
  <c r="P24" i="19"/>
  <c r="F25" i="19" l="1"/>
  <c r="F24" i="19"/>
  <c r="E26" i="19"/>
  <c r="E27" i="19"/>
  <c r="M8" i="17" l="1"/>
  <c r="D2" i="5" l="1"/>
  <c r="D4" i="25" l="1"/>
  <c r="D4" i="30"/>
  <c r="F4" i="19"/>
  <c r="E9" i="19"/>
  <c r="E8" i="19"/>
  <c r="H16" i="26"/>
  <c r="H15" i="26"/>
  <c r="K8" i="26"/>
  <c r="J8" i="26"/>
  <c r="K6" i="26"/>
  <c r="J6" i="26"/>
  <c r="F9" i="19" l="1"/>
  <c r="F8" i="19"/>
  <c r="E36" i="19"/>
  <c r="F38" i="19"/>
  <c r="E38" i="19"/>
  <c r="R18" i="19"/>
  <c r="E40" i="19" l="1"/>
  <c r="E55" i="23" l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54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K8" i="22"/>
  <c r="J8" i="22"/>
  <c r="K6" i="22"/>
  <c r="J6" i="22"/>
  <c r="D15" i="16" l="1"/>
  <c r="D24" i="7"/>
  <c r="K8" i="20"/>
  <c r="J8" i="20"/>
  <c r="K6" i="20"/>
  <c r="J6" i="20"/>
  <c r="E10" i="19" l="1"/>
  <c r="E7" i="19"/>
  <c r="E11" i="19" s="1"/>
  <c r="P10" i="19"/>
  <c r="P9" i="19"/>
  <c r="P11" i="19" s="1"/>
  <c r="P5" i="19"/>
  <c r="P4" i="19"/>
  <c r="P6" i="19" s="1"/>
  <c r="D9" i="16"/>
  <c r="D3" i="12"/>
  <c r="D3" i="14"/>
  <c r="D4" i="1"/>
  <c r="F12" i="19" l="1"/>
  <c r="F11" i="19"/>
  <c r="F10" i="19"/>
  <c r="E4" i="19"/>
  <c r="E13" i="19"/>
  <c r="E12" i="19"/>
  <c r="P13" i="19"/>
  <c r="P12" i="19"/>
  <c r="D7" i="1"/>
  <c r="D3" i="1" l="1"/>
  <c r="D9" i="1"/>
  <c r="D10" i="1" s="1"/>
  <c r="D5" i="1"/>
  <c r="D8" i="1" s="1"/>
  <c r="D6" i="1"/>
  <c r="D11" i="1" l="1"/>
</calcChain>
</file>

<file path=xl/sharedStrings.xml><?xml version="1.0" encoding="utf-8"?>
<sst xmlns="http://schemas.openxmlformats.org/spreadsheetml/2006/main" count="1667" uniqueCount="724">
  <si>
    <t>String</t>
  </si>
  <si>
    <t>archivepath</t>
  </si>
  <si>
    <t>analysispath</t>
  </si>
  <si>
    <t>testpath</t>
  </si>
  <si>
    <t>outputpath</t>
  </si>
  <si>
    <t>workingpath</t>
  </si>
  <si>
    <t>datapath</t>
  </si>
  <si>
    <t>homepath</t>
  </si>
  <si>
    <t>comments</t>
  </si>
  <si>
    <t>override</t>
  </si>
  <si>
    <t>default</t>
  </si>
  <si>
    <t>type</t>
  </si>
  <si>
    <t>parameter</t>
  </si>
  <si>
    <t>docsoutputpath</t>
  </si>
  <si>
    <t>docsanalysispath</t>
  </si>
  <si>
    <t>integralrtol</t>
  </si>
  <si>
    <t>10*eps()</t>
  </si>
  <si>
    <t>Float64</t>
  </si>
  <si>
    <t>v</t>
  </si>
  <si>
    <t>delta0</t>
  </si>
  <si>
    <t>alphay0</t>
  </si>
  <si>
    <t>zetay0</t>
  </si>
  <si>
    <t>alphax0</t>
  </si>
  <si>
    <t>zetax0</t>
  </si>
  <si>
    <t>numax</t>
  </si>
  <si>
    <t>numin</t>
  </si>
  <si>
    <t>zetanu0</t>
  </si>
  <si>
    <t>alphanu0</t>
  </si>
  <si>
    <t>10^-2</t>
  </si>
  <si>
    <t>1.0</t>
  </si>
  <si>
    <t>0.0</t>
  </si>
  <si>
    <t>Inf</t>
  </si>
  <si>
    <t>(4+sqrt(816))/400</t>
  </si>
  <si>
    <t>(4+sqrt(816))/400*4 + 1.0</t>
  </si>
  <si>
    <t>testpriors</t>
  </si>
  <si>
    <t>category</t>
  </si>
  <si>
    <t>Symbol</t>
  </si>
  <si>
    <t>Int</t>
  </si>
  <si>
    <t>10</t>
  </si>
  <si>
    <t>260</t>
  </si>
  <si>
    <t>3</t>
  </si>
  <si>
    <t>1</t>
  </si>
  <si>
    <t>1/3</t>
  </si>
  <si>
    <t>0.01</t>
  </si>
  <si>
    <t>defpriorset</t>
  </si>
  <si>
    <t>phi0</t>
  </si>
  <si>
    <t>beta0</t>
  </si>
  <si>
    <t>:beta0_zeros</t>
  </si>
  <si>
    <t>Union{Symbol, Vector{Float64}}</t>
  </si>
  <si>
    <t>M0</t>
  </si>
  <si>
    <t>Union{Symbol, Matrix{Float64}}</t>
  </si>
  <si>
    <t>A0</t>
  </si>
  <si>
    <t>:M0_homosked1</t>
  </si>
  <si>
    <t>kappa0</t>
  </si>
  <si>
    <t>corresponds to mode 4, variance 200</t>
  </si>
  <si>
    <t>defmcmcinitmethod</t>
  </si>
  <si>
    <t>Vector{Symbol}</t>
  </si>
  <si>
    <t>[:x,:ϕ,:β,:γ,:ω,:τy,:τx,:ψ,:ν]</t>
  </si>
  <si>
    <t>:deterministic1</t>
  </si>
  <si>
    <t>1000</t>
  </si>
  <si>
    <t>:phi0_contemp</t>
  </si>
  <si>
    <t>iorid</t>
  </si>
  <si>
    <t>mcmcchainanalysislabel</t>
  </si>
  <si>
    <t>test</t>
  </si>
  <si>
    <t>Bool</t>
  </si>
  <si>
    <t>true</t>
  </si>
  <si>
    <t>Union{Symbol,Int}</t>
  </si>
  <si>
    <t>bootstrapacceptableautocor</t>
  </si>
  <si>
    <t>mcmcquantiles</t>
  </si>
  <si>
    <t>Vector{Float64}</t>
  </si>
  <si>
    <t>bootstrapnumdraws</t>
  </si>
  <si>
    <t>0.02</t>
  </si>
  <si>
    <t>bootstrapminblocklag</t>
  </si>
  <si>
    <t>bootstrapmaxblocklag</t>
  </si>
  <si>
    <t>0</t>
  </si>
  <si>
    <t>false</t>
  </si>
  <si>
    <t>diagreplicatemcmcdiagnosticsbda</t>
  </si>
  <si>
    <t>testbdastats</t>
  </si>
  <si>
    <t xml:space="preserve"> Note- may want to run it setting diagreplicatemcmcdiagnosticsbda to true and then false</t>
  </si>
  <si>
    <t>:shuffle1</t>
  </si>
  <si>
    <t>Dict</t>
  </si>
  <si>
    <t>Vector{String}</t>
  </si>
  <si>
    <t>iofigformats</t>
  </si>
  <si>
    <t>PGFPlotsX supports pdf, svg, tikz, tex (and probably png?)</t>
  </si>
  <si>
    <t>runanalysis</t>
  </si>
  <si>
    <t>NamedTuple</t>
  </si>
  <si>
    <t>iocannedplotsparams</t>
  </si>
  <si>
    <t>ioconvergencegraphwindows</t>
  </si>
  <si>
    <t>Vector{Int}</t>
  </si>
  <si>
    <t>ioconvergenceparams</t>
  </si>
  <si>
    <t>(;summaryfile=true, cannedplots=true, convergenceplots=true)</t>
  </si>
  <si>
    <t>[:β]</t>
  </si>
  <si>
    <t>10000</t>
  </si>
  <si>
    <t>Union{Nothing, Date}</t>
  </si>
  <si>
    <t>Date(2004,12,31)</t>
  </si>
  <si>
    <t>nothing</t>
  </si>
  <si>
    <t>Union{Float64,Dict{Symbol,Float64}}</t>
  </si>
  <si>
    <t>Dict(
:F_cash =&gt; 100.0, :F_equitymarket =&gt; 100.0, :F_alttrend =&gt; 100.0, :F_fixedcredit =&gt; 100.0, :F_altcommodities =&gt; 100.0, :F_usdollar =&gt; 100.0, :F_althfcrowding =&gt; 100.0, :F_equityquality =&gt; 100.0, :F_emergingmarkets =&gt; 100.0, :F_equitymomentum =&gt; 100.0, :F_equityvalue =&gt; 100.0, :F_equitysmallcap =&gt; 100.0, :F_fixedduration =&gt; 100.0, :F_sbworldgovtbondindex =&gt; 100.0, :F_oilpricesinusd =&gt; 100.0, :F_developingmarket =&gt; 100.0, :F_size =&gt; 100.0, :F_value =&gt; 100.0, :F_treasurycurvefactor1 =&gt; 10.0, :F_treasurycurvefactor2 =&gt; 1.0, :F_treasurycurvefactor3 =&gt; 0.1, :F_commodities1 =&gt; 100.0, :F_commodities2 =&gt; 100.0, :F_commodities3 =&gt; 100.0, :F_hedgefund1 =&gt; 100.0, :F_hedgefund2 =&gt; 100.0, :F_hedgefund3 =&gt; 100.0, :F_privateequity1 =&gt; 100.0, :F_privateequity2 =&gt; 100.0, :F_privateequity3 =&gt; 100.0, :F_realestate1 =&gt; 100.0, :F_realestate2 =&gt; 100.0, :F_realestate3 =&gt; 100.0, :F_nodur =&gt; 100.0, :F_durbl =&gt; 100.0, :F_manuf =&gt; 100.0, :F_enrgy =&gt; 100.0, :F_chems =&gt; 100.0, :F_buseq =&gt; 100.0, :F_telcm =&gt; 100.0, :F_utils =&gt; 100.0, :F_shops =&gt; 100.0, :F_hlth  =&gt; 100.0, :F_money =&gt; 100.0, :F_other =&gt; 100.0, :F_wticrudeoil =&gt; 100.0, :F_brentcrudeoil =&gt; 100.0, :F_middleeastcrudeoil =&gt; 100.0, :F_heatingoil =&gt; 100.0, :F_naturalgas =&gt; 100.0, :F_gasoil =&gt; 100.0, :F_gold =&gt; 100.0, :F_combwtibrent =&gt; 100.0, :F_combwtibrentnaturalgas =&gt; 100.0, :F_combwtigold =&gt; 100.0, :F_combbrentgold =&gt; 100.0, :F_combwtibrentgold =&gt; 100.0, :F_combwtibrentmideast =&gt; 100.0, :F_combwtibrentmideastheatingoilnaturalgasgasoil =&gt; 100.0, :F_comballenergygold =&gt; 100.0, :F_combgasoilheatingoil =&gt; 100.0, :F_combwtibrentgasoilheatingoil =&gt; 100.0, :F_combwtigasoil =&gt; 100.0, :F_combwtinaturalgasgold =&gt; 100.0, :F_placebo =&gt; 100.0, :F_altoil =&gt; 100.0, :F_cpih12sa =&gt; 100.0, :F_cpih12nsa =&gt; 100.0, :F_cpicore12sa =&gt; 100.0, :F_cpicore12nsa =&gt; 100.0, :F_pceh12sa =&gt; 100.0, :F_pcecore12sa =&gt; 100.0, :F_lagexcessequitymarket =&gt; 100.0, :F_reitmmarket =&gt; 100.0, :F_reitmmarketplshiller =&gt; 100.0, :F_reitmmarketpllshiller =&gt; 100.0, :F_lshiller =&gt; 100.0, :F_llshiller =&gt; 100.0, )</t>
  </si>
  <si>
    <t>DateFormat</t>
  </si>
  <si>
    <t>m/d/y</t>
  </si>
  <si>
    <t>Union{Bool, Dict{Symbol, Bool}}</t>
  </si>
  <si>
    <t>factormindate</t>
  </si>
  <si>
    <t>factormaxdate</t>
  </si>
  <si>
    <t>factorusecommondatesonly</t>
  </si>
  <si>
    <t>factorFrf</t>
  </si>
  <si>
    <t>factorrescale</t>
  </si>
  <si>
    <t>factordateformat</t>
  </si>
  <si>
    <t>factorsaveas</t>
  </si>
  <si>
    <t>factorexcess</t>
  </si>
  <si>
    <t>factorrawiswide</t>
  </si>
  <si>
    <t>factorrawlongfields</t>
  </si>
  <si>
    <t>factorrawfilename</t>
  </si>
  <si>
    <t>processeddatapath</t>
  </si>
  <si>
    <t>factorfrequency</t>
  </si>
  <si>
    <t>:month</t>
  </si>
  <si>
    <t>assetrawfilename</t>
  </si>
  <si>
    <t>datamindate</t>
  </si>
  <si>
    <t>datamaxdate</t>
  </si>
  <si>
    <t>Date(1900,12,31)</t>
  </si>
  <si>
    <t>Date(2200,12,31)</t>
  </si>
  <si>
    <t>0.0025^2</t>
  </si>
  <si>
    <t>from FF</t>
  </si>
  <si>
    <t>0.00266</t>
  </si>
  <si>
    <t>0.97</t>
  </si>
  <si>
    <t>from FF (AR(1))</t>
  </si>
  <si>
    <t>800</t>
  </si>
  <si>
    <t>20</t>
  </si>
  <si>
    <t>testsimulateseries</t>
  </si>
  <si>
    <t>(;summaryfile=true, cannedplots=true, convergenceplots=false)</t>
  </si>
  <si>
    <t>iosummaryrunsplit</t>
  </si>
  <si>
    <t>0.000001</t>
  </si>
  <si>
    <t>for testing for inconsistency</t>
  </si>
  <si>
    <t>0.001</t>
  </si>
  <si>
    <t>Dict(:β=&gt;(;
label=raw"β",
params=[:β, :ν]
))</t>
  </si>
  <si>
    <t>Union{Bool,Vector{Symbol}}</t>
  </si>
  <si>
    <t>factorchangetolog</t>
  </si>
  <si>
    <t>assetrawiswide</t>
  </si>
  <si>
    <t>assetrawlongfields</t>
  </si>
  <si>
    <t>assetfrequency</t>
  </si>
  <si>
    <t>assetchangetolog</t>
  </si>
  <si>
    <t>assetmindate</t>
  </si>
  <si>
    <t>assetmaxdate</t>
  </si>
  <si>
    <t>assetusecommondatesonly</t>
  </si>
  <si>
    <t>assetrescale</t>
  </si>
  <si>
    <t>assetdateformat</t>
  </si>
  <si>
    <t>assetsaveas</t>
  </si>
  <si>
    <t>100.0</t>
  </si>
  <si>
    <t>assetconverttofrequency</t>
  </si>
  <si>
    <t>Union{Symbol, Nothing}</t>
  </si>
  <si>
    <t>formattedassetfile</t>
  </si>
  <si>
    <t>formattedfactorfile</t>
  </si>
  <si>
    <t>:all</t>
  </si>
  <si>
    <t>Union{Symbol,Vector{Symbol}}</t>
  </si>
  <si>
    <t>Dict{Symbol, Int}</t>
  </si>
  <si>
    <t>simulateK</t>
  </si>
  <si>
    <t>simulateS</t>
  </si>
  <si>
    <t>simulateP</t>
  </si>
  <si>
    <t>simulateKtruefrac</t>
  </si>
  <si>
    <t>simulatesigma2residx</t>
  </si>
  <si>
    <t>simulatenu</t>
  </si>
  <si>
    <t>simulatesigma2residy</t>
  </si>
  <si>
    <t>simulatesigma2xhat</t>
  </si>
  <si>
    <t>simulatesigma2r</t>
  </si>
  <si>
    <t>simulateEr</t>
  </si>
  <si>
    <t>simulaterpersistance</t>
  </si>
  <si>
    <t>simulatemcmcfieldstocapture</t>
  </si>
  <si>
    <t>simulatemcmcnumsamplerecords</t>
  </si>
  <si>
    <t>simulatemcmcnumburnrecords</t>
  </si>
  <si>
    <t>simulatemcmcnumchains</t>
  </si>
  <si>
    <t>mcmcruntype</t>
  </si>
  <si>
    <t>:priorexpectation</t>
  </si>
  <si>
    <t>livefieldstocapture</t>
  </si>
  <si>
    <t>livenumchains</t>
  </si>
  <si>
    <t>livenumburnrecords</t>
  </si>
  <si>
    <t>livenumsamplerecords</t>
  </si>
  <si>
    <t>liverecorddgp</t>
  </si>
  <si>
    <t>livepriorset</t>
  </si>
  <si>
    <t>livemodelfactors</t>
  </si>
  <si>
    <t>livenummalagsforassetfrequency</t>
  </si>
  <si>
    <t>iobatchrecordrawdata</t>
  </si>
  <si>
    <t>iorecordrawdata</t>
  </si>
  <si>
    <t>iobatchassetstoanalyze</t>
  </si>
  <si>
    <t>Union{Symbol, Vector{Symbol}}</t>
  </si>
  <si>
    <t>batchmcmcchainanalysislabel</t>
  </si>
  <si>
    <t>batch</t>
  </si>
  <si>
    <t>iotlocalparams</t>
  </si>
  <si>
    <t>(;value=:value, variable=:name)</t>
  </si>
  <si>
    <t>ipi_observables</t>
  </si>
  <si>
    <t>featuredassets_proc</t>
  </si>
  <si>
    <t>ipi_observables_proc</t>
  </si>
  <si>
    <t>2.01</t>
  </si>
  <si>
    <t>0.0101</t>
  </si>
  <si>
    <t>test_rid230131-2125</t>
  </si>
  <si>
    <t>these seem to work well??</t>
  </si>
  <si>
    <t>calculator</t>
  </si>
  <si>
    <t>0.5</t>
  </si>
  <si>
    <t>Union{Symbol, Float64}</t>
  </si>
  <si>
    <t>qtest</t>
  </si>
  <si>
    <t>qtest_proc</t>
  </si>
  <si>
    <t>diagmaxbdalag</t>
  </si>
  <si>
    <t>2000</t>
  </si>
  <si>
    <t>pftest</t>
  </si>
  <si>
    <t>pftest_proc</t>
  </si>
  <si>
    <t>testpriorsq</t>
  </si>
  <si>
    <t>model error mean sd</t>
  </si>
  <si>
    <t>measurement error mean sd</t>
  </si>
  <si>
    <t>Implied y0 prec</t>
  </si>
  <si>
    <t>&lt;---- this is the sd of the precision expressed as a MULTIPLIER of the precision</t>
  </si>
  <si>
    <t>Implied variance mult</t>
  </si>
  <si>
    <t>Implied x0 prec</t>
  </si>
  <si>
    <t>Implied x0 prec SD</t>
  </si>
  <si>
    <t>works in tests</t>
  </si>
  <si>
    <t>num factors</t>
  </si>
  <si>
    <t>kappa</t>
  </si>
  <si>
    <t>delta</t>
  </si>
  <si>
    <t>livemodel</t>
  </si>
  <si>
    <t>simulatemodel</t>
  </si>
  <si>
    <t>:standardG</t>
  </si>
  <si>
    <t>[Symbol("x[1]"),Symbol("x[2]"),Symbol("x[3]"),Symbol("x[4]"),Symbol("x[5]"),:ϕ,:β,:γ,:ω,:τy,:τx,Symbol("ψ[1]"),Symbol("ψ[2]"),Symbol("ψ[3]"),Symbol("ψ[4]"),Symbol("ψ[5]"),:ν, :gx,:gy]</t>
  </si>
  <si>
    <t>:A0_halfzellner</t>
  </si>
  <si>
    <t>preqin</t>
  </si>
  <si>
    <t>G spec</t>
  </si>
  <si>
    <t>[:A_privateequity,:A_privatecapital,:A_buyout,:A_venture,:A_privatedebt,:A_sp500totalreturn]</t>
  </si>
  <si>
    <t>simulatefrequency</t>
  </si>
  <si>
    <t>10^-3</t>
  </si>
  <si>
    <t>simulatepriorset</t>
  </si>
  <si>
    <t>simulatebetatrueselected</t>
  </si>
  <si>
    <t>simulatebetatruenotselected</t>
  </si>
  <si>
    <t>simulatebetatrueintercept</t>
  </si>
  <si>
    <t>betadelta0</t>
  </si>
  <si>
    <t>:testpriorssim</t>
  </si>
  <si>
    <t>:beta0_fromsim</t>
  </si>
  <si>
    <t>:betadelta0_fromsim</t>
  </si>
  <si>
    <t>testpriorssim</t>
  </si>
  <si>
    <t>alphaphi0</t>
  </si>
  <si>
    <t>zetaphi0</t>
  </si>
  <si>
    <t>zetabeta0</t>
  </si>
  <si>
    <t>alphabeta0</t>
  </si>
  <si>
    <t>:zetabeta0_zellnersiow</t>
  </si>
  <si>
    <t>:zetaphi0_zellnersiow</t>
  </si>
  <si>
    <t>beta calcs</t>
  </si>
  <si>
    <t>[100,1000,10000,100000]</t>
  </si>
  <si>
    <t>["png"]</t>
  </si>
  <si>
    <t>stopfixed</t>
  </si>
  <si>
    <t>livestoprule</t>
  </si>
  <si>
    <t>livemaxrecords</t>
  </si>
  <si>
    <t>:always</t>
  </si>
  <si>
    <t>simulatestoprule</t>
  </si>
  <si>
    <t>simulatemaxrecords</t>
  </si>
  <si>
    <t>10_000</t>
  </si>
  <si>
    <t>testpriorsGT</t>
  </si>
  <si>
    <t>bootstraplagmultiplier</t>
  </si>
  <si>
    <t>2.0</t>
  </si>
  <si>
    <t>:bootstrapess</t>
  </si>
  <si>
    <t>stopbootstrapminess</t>
  </si>
  <si>
    <t>stopbootstrapfocalfields</t>
  </si>
  <si>
    <t>:heuristic</t>
  </si>
  <si>
    <t>fraction of INCREASE, so 1.5 = 150% increase in the size of the sample. Heuristic leaves it to the stop rule</t>
  </si>
  <si>
    <t>0.8</t>
  </si>
  <si>
    <t>stopbootstrapminblocksize</t>
  </si>
  <si>
    <t>stopbootstrapmaxblocksizefrac</t>
  </si>
  <si>
    <t>preqinfunds_proc</t>
  </si>
  <si>
    <t>preqinfunds</t>
  </si>
  <si>
    <t>[:ϕ,:β,:τy,:τx,:ν,:τϕ,:τβ]</t>
  </si>
  <si>
    <t>0.25</t>
  </si>
  <si>
    <t>beta0overrides</t>
  </si>
  <si>
    <t>Dict{Symbol,Float64}</t>
  </si>
  <si>
    <t>Dict(:equitymarket=&gt;1.0)</t>
  </si>
  <si>
    <t>iopredictionmethods</t>
  </si>
  <si>
    <t>ioaggregatestats</t>
  </si>
  <si>
    <t>iopredictivestats</t>
  </si>
  <si>
    <t>batchiorid</t>
  </si>
  <si>
    <t>samplerecyclefrac</t>
  </si>
  <si>
    <t>samplefixedexpandfrac</t>
  </si>
  <si>
    <t>sampleexpandmethod</t>
  </si>
  <si>
    <t>heuristic or fixed</t>
  </si>
  <si>
    <t>sampleheuristicmaxincrease</t>
  </si>
  <si>
    <t>sampleheuristicslack</t>
  </si>
  <si>
    <t>0.2</t>
  </si>
  <si>
    <t>10.0</t>
  </si>
  <si>
    <t>ioderiveddependencies</t>
  </si>
  <si>
    <t>[:E, ]</t>
  </si>
  <si>
    <t>[:A_harbourvestpartnerspe8836, :A_berkshirepartnerspe8335, :A_jmiequitype3498, :A_caltiuscapitalmanagementpd13627, :A_gcmgrosvenorpe14077, :A_dunerealestatepartnersre11633, :A_prudentialprivatecapitalpd14874, :A_adamsstreetpartnerspe10545, :A_peninsulacapitalpartnerspd15896, :A_gcmgrosvenorpe7365, :A_stonepointcapitalpe16665, :A_gcmgrosvenorpe35209, :A_mesirowfinancialpe14533, :A_adamsstreetpartnerspe19144, :A_adamsstreetpartnerspe15580, :A_rcpadvisorspe18076, :A_adamsstreetpartnerspe21015, :A_altuscapitalpartnerspe23979, :A_gloustoncapitalpartnerspe21613, ]</t>
  </si>
  <si>
    <t>icapddfunds_proc</t>
  </si>
  <si>
    <t>:beta0_zeroswithoverrides</t>
  </si>
  <si>
    <t>fund anme</t>
  </si>
  <si>
    <t>A_abrdninf30418</t>
  </si>
  <si>
    <t>A_brookfieldassetmanagementinf57526</t>
  </si>
  <si>
    <t>A_nrpmaritimeassetmanagementinf104764</t>
  </si>
  <si>
    <t>A_macquarieassetmanagementinf51178</t>
  </si>
  <si>
    <t>A_lspowergroupinf40462</t>
  </si>
  <si>
    <t>A_brookfieldassetmanagementinf39136</t>
  </si>
  <si>
    <t>A_agriculturecapitalnr63425</t>
  </si>
  <si>
    <t>A_paineschwartzpartnersnr40434</t>
  </si>
  <si>
    <t>A_hitecvisionnr44882</t>
  </si>
  <si>
    <t>A_timberlandinvestmentresourcesnr49487</t>
  </si>
  <si>
    <t>A_escalatecapitalpd52367</t>
  </si>
  <si>
    <t>A_peninsulacapitalpartnerspd53690</t>
  </si>
  <si>
    <t>A_cypriumpartnerspd23924</t>
  </si>
  <si>
    <t>A_clearlakecapitalgrouppd53367</t>
  </si>
  <si>
    <t>A_orbimedadvisorspd51976</t>
  </si>
  <si>
    <t>A_baincapitalcreditpd50044</t>
  </si>
  <si>
    <t>A_crescentcapitalgrouppd31453</t>
  </si>
  <si>
    <t>A_strategicvaluepartnerspd43375</t>
  </si>
  <si>
    <t>A_prudentialprivatecapitalpd29665</t>
  </si>
  <si>
    <t>A_abrypartnerspd35655</t>
  </si>
  <si>
    <t>A_ironwoodcapitalpd22811</t>
  </si>
  <si>
    <t>A_peninsulacapitalpartnerspd15896</t>
  </si>
  <si>
    <t>A_prudentialprivatecapitalpd14874</t>
  </si>
  <si>
    <t>A_caltiuscapitalmanagementpd13627</t>
  </si>
  <si>
    <t>A_lexingtonpartnerspe40651</t>
  </si>
  <si>
    <t>A_jmiequitype48428</t>
  </si>
  <si>
    <t>A_commonfundpe50434</t>
  </si>
  <si>
    <t>A_windpointpartnerspe54456</t>
  </si>
  <si>
    <t>A_truarcpartnerspe56886</t>
  </si>
  <si>
    <t>A_unknownpe58217</t>
  </si>
  <si>
    <t>A_asiaalternativesmanagementpe78143</t>
  </si>
  <si>
    <t>A_tpgpe36616</t>
  </si>
  <si>
    <t>A_rcpadvisorspe41911</t>
  </si>
  <si>
    <t>A_sumeruequitypartnerspe44437</t>
  </si>
  <si>
    <t>A_57starspe50821</t>
  </si>
  <si>
    <t>A_taassociatespe51547</t>
  </si>
  <si>
    <t>A_harvestpartnerspe55355</t>
  </si>
  <si>
    <t>A_theriversidecompanype56391</t>
  </si>
  <si>
    <t>A_lightspeedventurepartnerspe59764</t>
  </si>
  <si>
    <t>A_hillhousecapitalmanagementpe65079</t>
  </si>
  <si>
    <t>A_bessemerventurepartnerspe10524</t>
  </si>
  <si>
    <t>A_mekongcapitalpe18081</t>
  </si>
  <si>
    <t>A_apogemcapitalpe45176</t>
  </si>
  <si>
    <t>A_asiaalternativesmanagementpe48488</t>
  </si>
  <si>
    <t>A_cvcpe49245</t>
  </si>
  <si>
    <t>A_ridgemontequitypartnerspe54937</t>
  </si>
  <si>
    <t>A_schroderscapitalpe55266</t>
  </si>
  <si>
    <t>A_mesirowfinancialpe22928</t>
  </si>
  <si>
    <t>A_harbourvestpartnerspe36396</t>
  </si>
  <si>
    <t>A_aquilinecapitalpartnerspe44450</t>
  </si>
  <si>
    <t>A_insightpartnerspe51076</t>
  </si>
  <si>
    <t>A_thomabravope56925</t>
  </si>
  <si>
    <t>A_performanceequitymanagementpe29188</t>
  </si>
  <si>
    <t>A_beeckenpettyokeefecompanype35584</t>
  </si>
  <si>
    <t>A_siriscapitalpe50632</t>
  </si>
  <si>
    <t>A_asiaalternativesmanagementpe52173</t>
  </si>
  <si>
    <t>A_thomabravope56945</t>
  </si>
  <si>
    <t>A_pantheonpe59649</t>
  </si>
  <si>
    <t>A_intellectualventurespe11659</t>
  </si>
  <si>
    <t>A_hirtlecallaghancope18309</t>
  </si>
  <si>
    <t>A_olympuspartnerspe35771</t>
  </si>
  <si>
    <t>A_freemanspoglicope38952</t>
  </si>
  <si>
    <t>A_abbottcapitalmanagementpe44857</t>
  </si>
  <si>
    <t>A_insightpartnerspe51727</t>
  </si>
  <si>
    <t>A_clearlakecapitalgrouppe53366</t>
  </si>
  <si>
    <t>A_grovestreetadvisorspe21630</t>
  </si>
  <si>
    <t>A_inclineequitypartnerspe23526</t>
  </si>
  <si>
    <t>A_sandscapitalventurespe53315</t>
  </si>
  <si>
    <t>A_newmountaincapitalpe34882</t>
  </si>
  <si>
    <t>A_abbottcapitalmanagementpe37784</t>
  </si>
  <si>
    <t>A_greathillpartnerspe42207</t>
  </si>
  <si>
    <t>A_adamsstreetpartnerspe43432</t>
  </si>
  <si>
    <t>A_gloustoncapitalpartnerspe44551</t>
  </si>
  <si>
    <t>A_asiaalternativesmanagementpe140779</t>
  </si>
  <si>
    <t>A_quadcpe21440</t>
  </si>
  <si>
    <t>A_fordfinancialpe30165</t>
  </si>
  <si>
    <t>A_fflpartnerspe43317</t>
  </si>
  <si>
    <t>A_bowsidecapitalpe44945</t>
  </si>
  <si>
    <t>A_franklinparkpe46312</t>
  </si>
  <si>
    <t>A_veritascapitalpe48136</t>
  </si>
  <si>
    <t>A_rcpadvisorspe30268</t>
  </si>
  <si>
    <t>A_abbottcapitalmanagementpe31917</t>
  </si>
  <si>
    <t>A_courtsquarepe29317</t>
  </si>
  <si>
    <t>A_harbourvestpartnerspe41876</t>
  </si>
  <si>
    <t>A_lightspeedventurepartnerspe45450</t>
  </si>
  <si>
    <t>A_schroderscapitalpe18287</t>
  </si>
  <si>
    <t>A_alvarezmarsalcapitalpe20120</t>
  </si>
  <si>
    <t>A_parthenoncapitalpe24620</t>
  </si>
  <si>
    <t>A_asiaalternativesmanagementpe25515</t>
  </si>
  <si>
    <t>A_apogemcapitalpe30468</t>
  </si>
  <si>
    <t>A_oceanavenuecapitalpartnerspe47163</t>
  </si>
  <si>
    <t>A_asiaalternativesmanagementpe18530</t>
  </si>
  <si>
    <t>A_asiaalternativesmanagementpe25516</t>
  </si>
  <si>
    <t>A_primuscapitalpe29076</t>
  </si>
  <si>
    <t>A_pantheonpe17906</t>
  </si>
  <si>
    <t>A_capitaldynamicspe30025</t>
  </si>
  <si>
    <t>A_evergreenpacificpartnerspe13943</t>
  </si>
  <si>
    <t>A_franciscopartnerspe16179</t>
  </si>
  <si>
    <t>A_adamsstreetpartnerspe22379</t>
  </si>
  <si>
    <t>A_adamsstreetpartnerspe22380</t>
  </si>
  <si>
    <t>A_adamsstreetpartnerspe48567</t>
  </si>
  <si>
    <t>A_gloustoncapitalpartnerspe21613</t>
  </si>
  <si>
    <t>A_rcpadvisorspe18076</t>
  </si>
  <si>
    <t>A_adamsstreetpartnerspe21015</t>
  </si>
  <si>
    <t>A_altuscapitalpartnerspe23979</t>
  </si>
  <si>
    <t>A_adamsstreetpartnerspe15580</t>
  </si>
  <si>
    <t>A_mesirowfinancialpe14533</t>
  </si>
  <si>
    <t>A_adamsstreetpartnerspe19144</t>
  </si>
  <si>
    <t>A_stonepointcapitalpe16665</t>
  </si>
  <si>
    <t>A_gcmgrosvenorpe35209</t>
  </si>
  <si>
    <t>A_gcmgrosvenorpe7365</t>
  </si>
  <si>
    <t>A_adamsstreetpartnerspe10545</t>
  </si>
  <si>
    <t>A_gcmgrosvenorpe14077</t>
  </si>
  <si>
    <t>A_jmiequitype3498</t>
  </si>
  <si>
    <t>A_berkshirepartnerspe8335</t>
  </si>
  <si>
    <t>A_harbourvestpartnerspe8836</t>
  </si>
  <si>
    <t>A_oaktreecapitalmanagementre38386</t>
  </si>
  <si>
    <t>A_cbreinvestmentmanagementre64445</t>
  </si>
  <si>
    <t>A_heitmanre30193</t>
  </si>
  <si>
    <t>A_morrisonstreetcapitalre43671</t>
  </si>
  <si>
    <t>A_longwharfcapitalre52744</t>
  </si>
  <si>
    <t>A_tarealtyre54713</t>
  </si>
  <si>
    <t>A_hgcapitalre65106</t>
  </si>
  <si>
    <t>A_parkwayre13958</t>
  </si>
  <si>
    <t>A_covenantcapitalgroupre24762</t>
  </si>
  <si>
    <t>A_lemcapitalre25585</t>
  </si>
  <si>
    <t>A_almanacrealtyinvestorsre46393</t>
  </si>
  <si>
    <t>A_pgimrealestatere50267</t>
  </si>
  <si>
    <t>A_lemcapitalre51927</t>
  </si>
  <si>
    <t>A_pccpre52608</t>
  </si>
  <si>
    <t>A_harbertmanagementcorporationre58377</t>
  </si>
  <si>
    <t>A_thackeraypartnersre11637</t>
  </si>
  <si>
    <t>A_carmelpartnersre45593</t>
  </si>
  <si>
    <t>A_angelogordoncore48971</t>
  </si>
  <si>
    <t>A_stockbridgecapitalgroupre36197</t>
  </si>
  <si>
    <t>A_blackstonegroupre49157</t>
  </si>
  <si>
    <t>A_angelogordoncore39927</t>
  </si>
  <si>
    <t>A_starwoodcapitalgroupre48477</t>
  </si>
  <si>
    <t>A_covenantcapitalgroupre53620</t>
  </si>
  <si>
    <t>A_divcowestre42503</t>
  </si>
  <si>
    <t>A_thackeraypartnersre24159</t>
  </si>
  <si>
    <t>A_tarealtyre25706</t>
  </si>
  <si>
    <t>A_westernnationalpropertiesre13292</t>
  </si>
  <si>
    <t>A_lonestarfundsre16064</t>
  </si>
  <si>
    <t>A_dunerealestatepartnersre11633</t>
  </si>
  <si>
    <t>[:A_performanceequitymanagementpe29188,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:A_gcmgrosvenorpe14077, :A_jmiequitype3498, :A_berkshirepartnerspe8335, :A_harbourvestpartnerspe8836, ]</t>
  </si>
  <si>
    <t>featuredassets_nd_proc</t>
  </si>
  <si>
    <t>20000</t>
  </si>
  <si>
    <t>Indexer</t>
  </si>
  <si>
    <t>indexer_proc</t>
  </si>
  <si>
    <t>[:A_brookfieldassetmanagementinf57526, :A_crescentcapitalgrouppd31453, :A_cvcpe49245, :A_oaktreecapitalmanagementre38386, :A_blackstonegroupre49157, ]</t>
  </si>
  <si>
    <t>[:A_apolloinvestmentfundvii, :A_claytondubilierriceviii, :A_rockpointv]</t>
  </si>
  <si>
    <t>25000</t>
  </si>
  <si>
    <t>[:A_canyonbalancedhedgefocusfundltd,]</t>
  </si>
  <si>
    <t>stopchainsummationmethod</t>
  </si>
  <si>
    <t>Function</t>
  </si>
  <si>
    <t>sum</t>
  </si>
  <si>
    <t>icapddfunds</t>
  </si>
  <si>
    <t>target=5</t>
  </si>
  <si>
    <t>sd=0.2</t>
  </si>
  <si>
    <t>target=7</t>
  </si>
  <si>
    <t>sd=0.25</t>
  </si>
  <si>
    <t>diagpackagebdakind</t>
  </si>
  <si>
    <t>:basic</t>
  </si>
  <si>
    <t>Can use [:bulk or :basic], which applies some normalization scheme to the input. See MCMCDiagnosticTools https://github.com/TuringLang/MCMCDiagnosticTools.jl/issues/22 which references https://arxiv.org/pdf/1903.08008.pdf (Vehtari et al 2021)</t>
  </si>
  <si>
    <t>WARNING- split must = true to replicate and diagpackagebdakind=:basic in order to replicate</t>
  </si>
  <si>
    <t>1.5</t>
  </si>
  <si>
    <t>target=6</t>
  </si>
  <si>
    <t>neab</t>
  </si>
  <si>
    <t>logmse</t>
  </si>
  <si>
    <t>&gt;</t>
  </si>
  <si>
    <t>histpriors</t>
  </si>
  <si>
    <t>a0invmax</t>
  </si>
  <si>
    <t>Dict(:month=&gt;5,:quarter=&gt;3)</t>
  </si>
  <si>
    <t>rid</t>
  </si>
  <si>
    <t>betapriormethod</t>
  </si>
  <si>
    <t>fundnameindex</t>
  </si>
  <si>
    <t>Dict{Symbol, Symbol}</t>
  </si>
  <si>
    <t>:histpriors</t>
  </si>
  <si>
    <t>betapgammamax</t>
  </si>
  <si>
    <t>betapgammamin</t>
  </si>
  <si>
    <t>0.999</t>
  </si>
  <si>
    <t>betaa0max</t>
  </si>
  <si>
    <t>betaa0min</t>
  </si>
  <si>
    <t>available: zerobetadelta0, knownbeta0</t>
  </si>
  <si>
    <t>:zerobetadelta0</t>
  </si>
  <si>
    <t>corresponds to mode 4, variance 200 (approx since the distribution is truncated)</t>
  </si>
  <si>
    <t>[:A_apolloinvestmentfundvii, :A_blackstonecapitalpartnersvi, :A_claytondubilierriceviii, :A_rockpointv, ]</t>
  </si>
  <si>
    <t>batch_rid230315-1245</t>
  </si>
  <si>
    <t>[:A_rockpointvi,]</t>
  </si>
  <si>
    <t>[:A_apolloinvestmentfundvii, ]</t>
  </si>
  <si>
    <t>ioadditionalderivedstats</t>
  </si>
  <si>
    <t>bandplot</t>
  </si>
  <si>
    <t>Dict(:A_apolloinvestmentfundviii=&gt;:apolloinvestmentfundvi, :A_rockpointvi=&gt;:rockpointv, :A_canyonbalancedhedgefocusfundltd=&gt;:canyonbalancedhedgefocusfundltd)</t>
  </si>
  <si>
    <t>focalparams</t>
  </si>
  <si>
    <t>[:A_carlyletacticalprivatecreditfund,:A_icapitalkkrprivatemarketsfund,:A_blackstonerealestateincometrustinc,:A_amgpantheonfundllc,:A_owlrockcoreincomecorp]</t>
  </si>
  <si>
    <t>["svg"]</t>
  </si>
  <si>
    <t>bands</t>
  </si>
  <si>
    <t>Vector{Pair}</t>
  </si>
  <si>
    <t>Format is lower=&gt;upper</t>
  </si>
  <si>
    <t>[0.001,0.005, 0.01, 0.05, 0.1,  0.25,0.5,0.75,0.9,0.95,0.99, 0.995, 0.999]</t>
  </si>
  <si>
    <t>[:q5=&gt;:q95]</t>
  </si>
  <si>
    <t>iocomputedensity</t>
  </si>
  <si>
    <t>featuredassets_nd_registered</t>
  </si>
  <si>
    <t>featuredassets_nd_registered_proc</t>
  </si>
  <si>
    <t>[:A_carlylecreditsolutions]</t>
  </si>
  <si>
    <t>[:A_hamiltonlanepafclassi]</t>
  </si>
  <si>
    <t>fid_proc</t>
  </si>
  <si>
    <t>testpriorsmf</t>
  </si>
  <si>
    <t>:testpriorsmf</t>
  </si>
  <si>
    <t>imposes high certainty on minimal smoothing</t>
  </si>
  <si>
    <t>iodgpanalysisplotparams</t>
  </si>
  <si>
    <t>a0overrides</t>
  </si>
  <si>
    <t>:A0_defaultwithoverrides</t>
  </si>
  <si>
    <t>a0default</t>
  </si>
  <si>
    <t>Dict(:intercept=&gt;100.0)</t>
  </si>
  <si>
    <t>Dict(:intercept=&gt;10000.0)</t>
  </si>
  <si>
    <t>icapddfunds2</t>
  </si>
  <si>
    <t>[:A_apolloinvestmentfundvii, :A_arescorporateopportunitiesfundii, :A_blackstonecapitalpartnersvi, :A_carlyleusequityopportunityfundii, :A_claytondubilierriceviii ,:A_coinvestmentpartnerseurope,  :A_kkreuropeanfund , :A_rockpointv]</t>
  </si>
  <si>
    <t>[:A_carlylecreditsolutions,:A_apolloinvestmentfundvii, :A_blackstonecapitalpartnersvi, :A_claytondubilierriceviii, :A_rockpointv, ]</t>
  </si>
  <si>
    <t>m0default</t>
  </si>
  <si>
    <t>Dict{Symbol,Float64}()</t>
  </si>
  <si>
    <t>:M0_defaultwithoverrides</t>
  </si>
  <si>
    <t>m0overrides</t>
  </si>
  <si>
    <t>[:A_carlylecreditsolutions, :A_apolloinvestmentfundvii, :A_rockpointv, :A_coinvestmentpartnerseurope,:A_kkreuropeanfund, :A_arescorporateopportunitiesfundii,:A_blackstonecapitalpartnersvi,]</t>
  </si>
  <si>
    <t>[:A_blackstoneprivatecreditfund, :A_blackstonerealestateincometrustinc]</t>
  </si>
  <si>
    <t>Dict()</t>
  </si>
  <si>
    <t>:A0_total1withoverrides</t>
  </si>
  <si>
    <t>:M0_total1withoverrides</t>
  </si>
  <si>
    <t>flagshipquarterly_proc</t>
  </si>
  <si>
    <t>phimin</t>
  </si>
  <si>
    <t>-Inf</t>
  </si>
  <si>
    <t>phimax</t>
  </si>
  <si>
    <t>:A0_adjdefaultwithoverrides</t>
  </si>
  <si>
    <t>:M0_adjdefaultwithoverrides</t>
  </si>
  <si>
    <t>[:A_icapitalpofivaccessfundlp, :A_hlsfvicapitalaccessfundlp, :A_hlsfvicapitaloffshoreaccessfundlp ]</t>
  </si>
  <si>
    <t>iosummaryconvergencestats</t>
  </si>
  <si>
    <t>:F_cash</t>
  </si>
  <si>
    <t>testpost0alpha</t>
  </si>
  <si>
    <t>testpost0zeta</t>
  </si>
  <si>
    <t>N</t>
  </si>
  <si>
    <t>prialpha</t>
  </si>
  <si>
    <t>prizeta</t>
  </si>
  <si>
    <t>implied 0sd</t>
  </si>
  <si>
    <t>implied50sd</t>
  </si>
  <si>
    <t>testpostvar</t>
  </si>
  <si>
    <t>testpostalpha</t>
  </si>
  <si>
    <t>testpostzeta</t>
  </si>
  <si>
    <t>measurement error of precision multipleir</t>
  </si>
  <si>
    <t>tau calcs- prec multiplier method</t>
  </si>
  <si>
    <t>tau calcs- sd multiplier method (stronger prior)</t>
  </si>
  <si>
    <t>&lt;-- sd of sd</t>
  </si>
  <si>
    <t>(uses inverse gamma)</t>
  </si>
  <si>
    <t>(uses product of exp of inverse gammas)</t>
  </si>
  <si>
    <t>sd from IG</t>
  </si>
  <si>
    <t>sd of mult</t>
  </si>
  <si>
    <t>E of mult</t>
  </si>
  <si>
    <t>sd of sd mult</t>
  </si>
  <si>
    <t>measurement error sd multiplier</t>
  </si>
  <si>
    <t>model error of precision multipleir</t>
  </si>
  <si>
    <t>model error sd multiplier (on the precision multiplier)</t>
  </si>
  <si>
    <t>(uses product of expectations of inverse gammas)</t>
  </si>
  <si>
    <t>publicreits_proc</t>
  </si>
  <si>
    <t>[:A_blackstoneprivatecreditfund]</t>
  </si>
  <si>
    <t>Dict(:σlrsys_scaledsqrt12 =&gt; (;
label=L"$\sigma_{sys}$",
Fdensitystat=:σ2lrsys,
Fdensitystatcalcmethod=:meanroot12,
densitymethod=:kerneldensity,
xlowerbound=0.0,
))</t>
  </si>
  <si>
    <t>Dict{Symbol,Symbol}</t>
  </si>
  <si>
    <t>Dict(:A_carlylecreditsolutions=&gt;:testpriorsq)</t>
  </si>
  <si>
    <t>livepriorsetoverrides</t>
  </si>
  <si>
    <t>expect. of mult</t>
  </si>
  <si>
    <t>Dict(Symbol("β[12]") =&gt; (;
label="fixed credit exp.",
Fdensitystat=Symbol("β[12]"),
Fdensitystatcalcmethod=:mean,
densitymethod=:kerneldensity,
))</t>
  </si>
  <si>
    <t>iotlocalparams_full</t>
  </si>
  <si>
    <t>iopredictionmethods_full</t>
  </si>
  <si>
    <t>[:xF_full, :xF_full_cum]</t>
  </si>
  <si>
    <t>Available: [:xF_full, :xF_full_cum]</t>
  </si>
  <si>
    <t>[:yF_full, :yF_full_cum]</t>
  </si>
  <si>
    <t>[:yF_full_cum]</t>
  </si>
  <si>
    <t>ioslocalparams</t>
  </si>
  <si>
    <t>ioslocalparams_full</t>
  </si>
  <si>
    <t>Dict(Symbol("meanyF_full_scaled12simp") =&gt; (;
label="Long-Run Factor Predicted Return (Annualized)",
Fdensitystat=Symbol("meanyF_scaled12simp") ,
Fdensitystatcalcmethod=:mean,
densitymethod=:kerneldensity,
))</t>
  </si>
  <si>
    <t>[:A_icapitalspreviiaccessfundlp]</t>
  </si>
  <si>
    <t>Dict(Symbol("meanyF_full_scaled12simp") =&gt; (;
label="Model Return",
Fdensitystat=Symbol("meanyF_scaled12simp") ,
Fdensitystatcalcmethod=:mean,
densitymethod=:kerneldensity,
xupperbound=1.0
))</t>
  </si>
  <si>
    <t>focalparamoverrides</t>
  </si>
  <si>
    <t>:uniform</t>
  </si>
  <si>
    <t>currently allows :uniform and :linear. Allows for greater weight on more recent data points.</t>
  </si>
  <si>
    <t>cvpreferrednumtestpoints</t>
  </si>
  <si>
    <t>Dict{Int,Int}</t>
  </si>
  <si>
    <t>cvholdoutmethod</t>
  </si>
  <si>
    <t>:ionides</t>
  </si>
  <si>
    <t>[:x,:ψ, :xF, :ExF]</t>
  </si>
  <si>
    <t>[:ϕ,:β,:γ,:ω,:τy,:τx,:ν,:τϕ,:τβ,:x,:ψ]</t>
  </si>
  <si>
    <t>14</t>
  </si>
  <si>
    <t>[:yF_full, :yF_full_cum, :yF_full_test, :yF_full_cum_test]</t>
  </si>
  <si>
    <t>[:x,:ψ, :xF, :ExF, :xF_test, :ExF_test]</t>
  </si>
  <si>
    <t>Available (some additional test variants as well): [:σ2x,:xF,:σ2_calc, :σ2_calc2, :xβ,:xF_full,:xF_full_cum]</t>
  </si>
  <si>
    <t>[:xF_full, :xF_full_cum,:xF_full_test, :xF_full_cum_test, :Ex_full]</t>
  </si>
  <si>
    <t>testderived</t>
  </si>
  <si>
    <t>Available: [:yF_full, :yF_full_cum, :y_full,:Ey_full]</t>
  </si>
  <si>
    <t>:EyF</t>
  </si>
  <si>
    <t>cvFprediction</t>
  </si>
  <si>
    <t>available: :fixed, :always, :bootstrapess</t>
  </si>
  <si>
    <t>0.0001</t>
  </si>
  <si>
    <t>0.005</t>
  </si>
  <si>
    <t>0.09</t>
  </si>
  <si>
    <t>idd_request0525</t>
  </si>
  <si>
    <t>Union{Int, Symbol}</t>
  </si>
  <si>
    <t>:nooverlap</t>
  </si>
  <si>
    <t>supports :nooverlap, :first, or an integer number of steps</t>
  </si>
  <si>
    <t>cvsstepsahead</t>
  </si>
  <si>
    <t>stopverbose</t>
  </si>
  <si>
    <t>:truecv</t>
  </si>
  <si>
    <t>Allowed: :ionides, :truecv, :raw</t>
  </si>
  <si>
    <t>40</t>
  </si>
  <si>
    <t>(;summaryfile=true, cannedplots=true, convergenceplots=true, aggregatefile=true,bandplots=true,analysisplots=true,cv=true)</t>
  </si>
  <si>
    <t>(;summaryfile=true, cannedplots=false, convergenceplots=false, aggregatefile=true, bandplots=true, analysisplots=true,cv=true)</t>
  </si>
  <si>
    <t>cvweightingmethod</t>
  </si>
  <si>
    <t>iocvoverrides</t>
  </si>
  <si>
    <t>Vector</t>
  </si>
  <si>
    <t>cvverbose</t>
  </si>
  <si>
    <t>Dict(1=&gt;36,3=&gt;20)</t>
  </si>
  <si>
    <t>9</t>
  </si>
  <si>
    <t>idd_request0525_proc</t>
  </si>
  <si>
    <t>[:A_icapitalspreviiaccessfundlp,:A_icapitalpofivaccessfundlp, :A_hlsfvicapitalaccessfundlp, :A_hlsfvicapitaloffshoreaccessfundlp, :A_carlylecreditsolutions ]</t>
  </si>
  <si>
    <t xml:space="preserve">[:A_wmasystematicequityalphalongshortonshorefundicapitallpclassuaadv2,:A_johnhancockassetbasedlendingfundclassd]
</t>
  </si>
  <si>
    <t xml:space="preserve">[:A_worldquantmillenniumwmqsgeaeoffshorefundicapitallp,]
</t>
  </si>
  <si>
    <t>[(;holdoutmethod=:ionides, sstepsaheadmethod=:first),
(;holdoutmethod=:ionides, sstepsaheadmethod=:nooverlap),
(;holdoutmethod=:truecv, sstepsaheadmethod=:first),
(;holdoutmethod=:truecv, sstepsaheadmethod=:nooverlap),
(;holdoutmethod=:psis, sstepsaheadmethod=:first),
(;holdoutmethod=:psis, sstepsaheadmethod=:nooverlap),]</t>
  </si>
  <si>
    <t>[(;holdoutmethod=:ionides, sstepsaheadmethod=:first),
(;holdoutmethod=:psis, sstepsaheadmethod=:first),]</t>
  </si>
  <si>
    <t>stocks60_proc</t>
  </si>
  <si>
    <t>[(;holdoutmethod=:ionides, sstepsaheadmethod=:first),
(;holdoutmethod=:psis, sstepsaheadmethod=:first),
(;holdoutmethod=:truecv, sstepsaheadmethod=:first),]</t>
  </si>
  <si>
    <t>stock priors</t>
  </si>
  <si>
    <t>0.05</t>
  </si>
  <si>
    <t>[(;holdoutmethod=:ionides, sstepsaheadmethod=:first),
(;holdoutmethod=:psis, sstepsaheadmethod=:first),
(;holdoutmethod=:truecv, sstepsaheadmethod=:first),
(;holdoutmethod=:forwardadaptivepsis, sstepsaheadmethod=:first),
]</t>
  </si>
  <si>
    <t>[(;holdoutmethod=:ionides, sstepsaheadmethod=:first),
(;holdoutmethod=:psis, sstepsaheadmethod=:first),
(;holdoutmethod=:forwardadaptivepsis, sstepsaheadmethod=:first),
(;holdoutmethod=:truecv, sstepsaheadmethod=:first),]</t>
  </si>
  <si>
    <t>Dict(1=&gt;24,3=&gt;12)</t>
  </si>
  <si>
    <t>[:A_blackstonerealestateincometrustinc, :A_blackstoneprivatecreditfund, :A_canyonbalancedhedgefocusfundltd, :A_worldquantmillenniumwmqsgeaeoffshorefundicapitallp,:A_owlrockcoreincomecorp,:A_wmasystematicequityalphalongshortonshorefundicapitallpclassuaadv2,:A_johnhancockassetbasedlendingfundclassd]</t>
  </si>
  <si>
    <t>:post</t>
  </si>
  <si>
    <t>:lpost</t>
  </si>
  <si>
    <t>cvFldensity</t>
  </si>
  <si>
    <t>cvFdensity</t>
  </si>
  <si>
    <t>[:σ2x,:σ2_calc, :xF, ]</t>
  </si>
  <si>
    <t>[(;holdoutmethod=:ionides, sstepsaheadmethod=:first),
(;holdoutmethod=:forwardadaptivepsis, sstepsaheadmethod=:first),]</t>
  </si>
  <si>
    <t>cvretrainingfrequency</t>
  </si>
  <si>
    <t>Dict(1=&gt;6,3=&gt;4)</t>
  </si>
  <si>
    <t>[(;holdoutmethod=:ionides, sstepsaheadmethod=:first),
(;holdoutmethod=:psis, sstepsaheadmethod=:first),
(;holdoutmethod=:forwardhybridionides, sstepsaheadmethod=:first),
(;holdoutmethod=:forwardhybridpsis, sstepsaheadmethod=:first),
(;holdoutmethod=:forwardadaptivepsis, sstepsaheadmethod=:first),]</t>
  </si>
  <si>
    <t>Dict(:ionides=&gt;:io,
:raw=&gt;:ra,
:psis=&gt;:ps,
:forwardhybridraw=&gt;:fhra,
:forwardhybridionides=&gt;:fhio,
:forwardhybridpsis=&gt;:fhps,
:forwardadaptivepsis=&gt;:faps)</t>
  </si>
  <si>
    <t>iocvholdoutmethodlabels</t>
  </si>
  <si>
    <t>Dict(1=&gt;12,3=&gt;12)</t>
  </si>
  <si>
    <t>diagabortonanalysisfailure</t>
  </si>
  <si>
    <t>[:A_blackstonerealestateincometrustinc,:A_blackstoneprivatecreditfund, :A_millenniuminternationalhedgefocusfundltd, :A_worldquantmillenniumwmqsgeaeoffshorefundicapitallp,:A_icapitalthirdpointfundlp,:A_owlrockcoreincomecorp,:A_icapitalrenaissanceiefundltd, :A_icapitalkkrprivatemarketsfund,]</t>
  </si>
  <si>
    <t>[:A_icapitalspreviiaccessfundlp,:A_icapitalpofivaccessfundlp, :A_hlsfvicapitaloffshoreaccessfundlp, :A_carlylecreditsolutions,:A_blackstonecapitalpartnersvi, ]</t>
  </si>
  <si>
    <t>4</t>
  </si>
  <si>
    <t>0.1</t>
  </si>
  <si>
    <t>2.1</t>
  </si>
  <si>
    <t>Dict(Symbol("β[7]") =&gt; (;
label="market",
Fdensitystat=Symbol("β[7]"),
Fdensitystatcalcmethod=:mean,
densitymethod=:kerneldensity,
))</t>
  </si>
  <si>
    <t>tail cutoff</t>
  </si>
  <si>
    <t>tail CDF</t>
  </si>
  <si>
    <t>numfactors/2 CDF</t>
  </si>
  <si>
    <t>target tail CDF</t>
  </si>
  <si>
    <t>&lt;---solve for parameter values that set expectation to target/factors and left tail prob to target tail CDF</t>
  </si>
  <si>
    <t>target num factors</t>
  </si>
  <si>
    <t>variance</t>
  </si>
  <si>
    <t>MoM</t>
  </si>
  <si>
    <t>E(X)</t>
  </si>
  <si>
    <t>Efactors check</t>
  </si>
  <si>
    <t>var factors check</t>
  </si>
  <si>
    <t>&lt;-</t>
  </si>
  <si>
    <t>sd</t>
  </si>
  <si>
    <t>E(x)</t>
  </si>
  <si>
    <t>V(x) target</t>
  </si>
  <si>
    <t>MoM for beta</t>
  </si>
  <si>
    <t>1.25/1.67 for 6/14 factors, sd=0.0625</t>
  </si>
  <si>
    <t>[:yF, :EyF,:yF1step,]</t>
  </si>
  <si>
    <t>Dict(:equitymarket=&gt;1.0, :equitysmallcap=&gt;1.0)</t>
  </si>
  <si>
    <t>Note- with 2 priors, 1.25/1.67 makes sense. This sets the expected number of factors at 6 (half of the remaining factors) and a vol of 0.25</t>
  </si>
  <si>
    <t>[:ypr, :yx, :EyF, :yF,:EyF_test, :yF_test, :EyF1step, :yF1step]</t>
  </si>
  <si>
    <t>[:A_icapitalkkrprivatemarketsfund]</t>
  </si>
  <si>
    <t>Dict(:yF_full=&gt;(;Fdata=nothing, label="return", Fpredicted=:E, Ffocal=:yF_full),
:yF=&gt;(;Fdata=:y, label="return", Fpredicted=:E, Ffocal=:yF),
:yFnoband=&gt;(;Fdata=:y, label="return", Fpredicted=:E, Fbands=Pair[], Ffocal=:yF1step),
:yF1step=&gt;(;Fdata=:y, label="return", Fpredicted=:E, Ffocal=:yF1step),
:yF1stepnoband=&gt;(;Fdata=:y, label="return", Fpredicted=:E, Fbands=Pair[], Ffocal=:yF1step),
:xF_full=&gt;(;Fdata=nothing, label="return", Fpredicted=:E, Ffocal=:xF_full))</t>
  </si>
  <si>
    <t>["icapitalspreviiaccessfundlp"=&gt;(;ymin_override=-0.8,ymax_override=0.8),
"icapitalkkrprivatemarketsfund"=&gt;(;ymin_override=-0.09,ymax_override=0.09),
"blackstoneprivatecreditfund"=&gt;(;ymin_override=-0.06,ymax_override=0.06)]</t>
  </si>
  <si>
    <t>estimatepriormodels</t>
  </si>
  <si>
    <t>Does nothing if estimatepriormodels=true</t>
  </si>
  <si>
    <t>priorpriorset</t>
  </si>
  <si>
    <t>priorlinkindex</t>
  </si>
  <si>
    <t>[:A_apolloinvestmentfundviii, :A_rockpointvi, :A_arescorporateopportunitiesfundiv]</t>
  </si>
  <si>
    <t>phi0min</t>
  </si>
  <si>
    <t>phi0max</t>
  </si>
  <si>
    <t>[]</t>
  </si>
  <si>
    <t>[:A_icapitalbcpviiiaccessfundlp, :A_icapitalblackstonegrowthaccessfundlp, :A_icapitalspreviiaccessfundlp, :A_icapitalvintageivaccessfundinternationallp]</t>
  </si>
  <si>
    <t>7</t>
  </si>
  <si>
    <t>[(;holdoutmethod=:forwardadaptivepsis, sstepsaheadmethod=:first),]</t>
  </si>
  <si>
    <t>Dict(:A_apolloinvestmentfundviii=&gt;:A_apolloinvestmentfundvi, :A_rockpointvi=&gt;:A_rockpointv, :A_arescorporateopportunitiesfundiv=&gt;:A_arescorporateopportunitiesfundiii, :A_carlylepartnersv=&gt;:A_carlylepartnersiv, :A_carlylepartnersiv=&gt;:A_carlylepartnersiii)</t>
  </si>
  <si>
    <t>[:A_apolloinvestmentfundviii, :A_arescorporateopportunitiesfundiv, :A_carlylepartnersiv, :A_carlylepartnersv, :A_rockpointvi]</t>
  </si>
  <si>
    <t>featuredassets_nd</t>
  </si>
  <si>
    <t>skiphistpriors</t>
  </si>
  <si>
    <t>simulateddraws</t>
  </si>
  <si>
    <t>iosimplelocalstats</t>
  </si>
  <si>
    <t>iosimplelocalstatsoverride</t>
  </si>
  <si>
    <t>[:yF]</t>
  </si>
  <si>
    <t>ioadditionalsimplestats</t>
  </si>
  <si>
    <t>[Symbol("ϕ[1]")]</t>
  </si>
  <si>
    <t>betapriorprecmax</t>
  </si>
  <si>
    <t>betapriorprecmin</t>
  </si>
  <si>
    <t>phipriorprecmax</t>
  </si>
  <si>
    <t>phipriorprecmin</t>
  </si>
  <si>
    <t>zerointerceptprior</t>
  </si>
  <si>
    <t>Dict(
    :priorparams=&gt;:all,
    :ypr=&gt;[:τy, :ϕ, :x],
    :yx =&gt; [:ϕ, :x],
    :EyF=&gt; [:ϕ, :β, ],
    :ExF=&gt; [:β, ],
    :Ex_full=&gt; [:β, :x],
    :Ey_full=&gt; [:β, :x, :ϕ,],
    :xF=&gt; [:β, :ν, :τy, :τx],
    :yF =&gt; [:ϕ, :β, :ν, :τy, :τx],
    :EyF1step =&gt; [:ϕ, :β, :x],
    :yF1step =&gt; [:ϕ, :β, :ν, :τy, :τx, :x],
    :y_full=&gt;[:ϕ, :β, :ν, :τy, :τx,:x],
    :xF_full=&gt; :xF,
    :x_full=&gt;[:β, :ν, :τy, :τx, :x],
    :yF_full=&gt; :yF,
    :xF_full_cum=&gt; :xF,
    :yF_full_cum=&gt; :yF,
    :σ2x=&gt;[:x],
    :σ2_calc =&gt;[:ϕ,:β, :τy, :τx, :ν, :ϕ,],
    :yF_llike=&gt;:all,
    :lpost=&gt;:all,
    :EyF_test=&gt;:EyF,
    :ExF_test=&gt; :ExF,
    :xF_test=&gt; :xF,
    :yF_test =&gt; :yF,
    :xF_full_test=&gt; :xF,
    :yF_full_test=&gt;:yF,
    :xF_full_cum_test=&gt; :xF,
    :yF_full_cum_test=&gt; :yF,
  )</t>
  </si>
  <si>
    <t>[:A0,:M0]</t>
  </si>
  <si>
    <t>only valid if a0 is implied as a parameter</t>
  </si>
  <si>
    <t>betapriorparam</t>
  </si>
  <si>
    <t>:β0</t>
  </si>
  <si>
    <t>impliedm0asparam</t>
  </si>
  <si>
    <t>implieda0asparam</t>
  </si>
  <si>
    <t>:βΔ0</t>
  </si>
  <si>
    <t>generic_q</t>
  </si>
  <si>
    <t>[:ϕ,:τy,:τx,:ν,:τϕ,:τβ,]</t>
  </si>
  <si>
    <t>ioconditionalparams</t>
  </si>
  <si>
    <t>[:β, :p_β0, :p_βΔ0]</t>
  </si>
  <si>
    <t>Can be either :βΔ0, :cγ_β0, or :β0</t>
  </si>
  <si>
    <t>minconditionalsamplesize</t>
  </si>
  <si>
    <t>minconditionaldeviation</t>
  </si>
  <si>
    <t>skipcvonbase</t>
  </si>
  <si>
    <t>Dict(:A_apolloinvestmentfundviii=&gt;:A_apolloinvestmentfundvi, :A_rockpointvi=&gt;:A_rockpointv, :A_carlylepartnersv=&gt;:A_carlylepartnersiv, :A_carlylepartnersiv=&gt;:A_carlylepartnersiii)</t>
  </si>
  <si>
    <t>[:τy,:τx,:ν,:τϕ,:τβ,:ω]</t>
  </si>
  <si>
    <t>architect627_m_proc</t>
  </si>
  <si>
    <t>[:A_aresrealestateincometrustinc, :A_icapitalmultistrategyfundltd, :A_icapitalrenaissanceidgefundltd, :A_stepstoneprivatemarketssprim]</t>
  </si>
  <si>
    <t>architect627_q_proc</t>
  </si>
  <si>
    <t>architect627_m_rec_proc</t>
  </si>
  <si>
    <t>[:σ2x,:σ2_calc, ]</t>
  </si>
  <si>
    <t>[:A_carlyletacticalprivatecreditfund,:A_icapitalhgvoraaccessfundlp]</t>
  </si>
  <si>
    <t>Available: [:ypr, :yx,  :yF, :EyF,:yF1step,]</t>
  </si>
  <si>
    <t>batch_rid230708-0535</t>
  </si>
  <si>
    <t>:quarter</t>
  </si>
  <si>
    <t>[:ϕ,:β,:γ,:ω,:τy,:τx,:ν,:τϕ,:τβ,:x]</t>
  </si>
  <si>
    <t>[:yF, :yF1step]</t>
  </si>
  <si>
    <t>architect627_q</t>
  </si>
  <si>
    <t>[:A_hlsfvicapitalaccessfundlp]</t>
  </si>
  <si>
    <t>[:yF_full,:xF_full]</t>
  </si>
  <si>
    <t>50</t>
  </si>
  <si>
    <t>[:A_hlsfvicapitalaccessfundlp ]</t>
  </si>
  <si>
    <t>/Users/asheth/Library/CloudStorage/OneDrive-iCapitalNetwork/GMAM/Git/emf_gmam_ae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</si>
</sst>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_(* #,##0.0000_);_(* \(#,##0.0000\);_(* &quot;-&quot;??_);_(@_)"/>
    <numFmt numFmtId="166" formatCode="_(* #,##0.0_);_(* \(#,##0.0\);_(* &quot;-&quot;??_);_(@_)"/>
    <numFmt numFmtId="167" formatCode="_(* #,##0_);_(* \(#,##0\);_(* &quot;-&quot;??_);_(@_)"/>
    <numFmt numFmtId="168" formatCode="_(* #,##0.000_);_(* \(#,##0.000\);_(* &quot;-&quot;??_);_(@_)"/>
    <numFmt numFmtId="169" formatCode="_(* #,##0.0000000_);_(* \(#,##0.0000000\);_(* &quot;-&quot;??_);_(@_)"/>
    <numFmt numFmtId="170" formatCode="0.000%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49" fontId="1" fillId="0" borderId="0" xfId="1" applyNumberFormat="1"/>
    <xf numFmtId="49" fontId="1" fillId="2" borderId="0" xfId="1" applyNumberFormat="1" applyFill="1"/>
    <xf numFmtId="0" fontId="0" fillId="3" borderId="0" xfId="0" applyFill="1"/>
    <xf numFmtId="0" fontId="0" fillId="2" borderId="0" xfId="0" applyFill="1"/>
    <xf numFmtId="49" fontId="0" fillId="0" borderId="0" xfId="0" applyNumberFormat="1"/>
    <xf numFmtId="0" fontId="1" fillId="0" borderId="0" xfId="1" applyAlignment="1">
      <alignment wrapText="1"/>
    </xf>
    <xf numFmtId="49" fontId="2" fillId="4" borderId="0" xfId="1" applyNumberFormat="1" applyFont="1" applyFill="1"/>
    <xf numFmtId="49" fontId="1" fillId="0" borderId="0" xfId="1" applyNumberFormat="1" applyAlignment="1">
      <alignment wrapText="1"/>
    </xf>
    <xf numFmtId="0" fontId="1" fillId="3" borderId="0" xfId="1" applyFill="1"/>
    <xf numFmtId="164" fontId="0" fillId="5" borderId="0" xfId="3" applyNumberFormat="1" applyFont="1" applyFill="1"/>
    <xf numFmtId="43" fontId="0" fillId="5" borderId="0" xfId="2" applyFont="1" applyFill="1"/>
    <xf numFmtId="43" fontId="0" fillId="0" borderId="0" xfId="2" applyFont="1" applyFill="1"/>
    <xf numFmtId="43" fontId="0" fillId="0" borderId="0" xfId="0" applyNumberFormat="1"/>
    <xf numFmtId="167" fontId="0" fillId="0" borderId="0" xfId="2" applyNumberFormat="1" applyFont="1"/>
    <xf numFmtId="43" fontId="4" fillId="0" borderId="0" xfId="0" applyNumberFormat="1" applyFont="1"/>
    <xf numFmtId="165" fontId="4" fillId="0" borderId="0" xfId="2" applyNumberFormat="1" applyFont="1"/>
    <xf numFmtId="166" fontId="4" fillId="0" borderId="0" xfId="2" applyNumberFormat="1" applyFont="1"/>
    <xf numFmtId="0" fontId="0" fillId="5" borderId="0" xfId="0" applyFill="1"/>
    <xf numFmtId="10" fontId="0" fillId="5" borderId="0" xfId="3" applyNumberFormat="1" applyFont="1" applyFill="1"/>
    <xf numFmtId="168" fontId="4" fillId="0" borderId="0" xfId="2" applyNumberFormat="1" applyFont="1"/>
    <xf numFmtId="43" fontId="0" fillId="0" borderId="0" xfId="2" applyFont="1"/>
    <xf numFmtId="169" fontId="4" fillId="0" borderId="0" xfId="0" applyNumberFormat="1" applyFont="1"/>
    <xf numFmtId="169" fontId="4" fillId="0" borderId="0" xfId="2" applyNumberFormat="1" applyFont="1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6" borderId="0" xfId="0" applyFill="1"/>
    <xf numFmtId="0" fontId="4" fillId="0" borderId="0" xfId="0" applyFont="1"/>
    <xf numFmtId="10" fontId="0" fillId="0" borderId="0" xfId="3" applyNumberFormat="1" applyFont="1"/>
    <xf numFmtId="166" fontId="0" fillId="0" borderId="0" xfId="2" applyNumberFormat="1" applyFont="1"/>
    <xf numFmtId="168" fontId="4" fillId="0" borderId="0" xfId="0" applyNumberFormat="1" applyFont="1"/>
    <xf numFmtId="168" fontId="0" fillId="0" borderId="0" xfId="2" applyNumberFormat="1" applyFont="1"/>
    <xf numFmtId="170" fontId="0" fillId="5" borderId="0" xfId="3" applyNumberFormat="1" applyFont="1" applyFill="1"/>
    <xf numFmtId="49" fontId="6" fillId="0" borderId="0" xfId="0" applyNumberFormat="1" applyFont="1"/>
    <xf numFmtId="0" fontId="1" fillId="7" borderId="0" xfId="1" applyFill="1"/>
  </cellXfs>
  <cellStyles count="4">
    <cellStyle name="Comma" xfId="2" builtinId="3"/>
    <cellStyle name="Normal" xfId="0" builtinId="0"/>
    <cellStyle name="Normal 2" xfId="1" xr:uid="{081CBAE9-FA6E-6C40-B23D-C881ED60442B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apitalnetwork-my.sharepoint.com/personal/ctepper_icapitalnetwork_com/Documents/parameters/codereference/Capacity/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asure"/>
      <sheetName val="io"/>
      <sheetName val="leadlag"/>
      <sheetName val="benchmarks"/>
      <sheetName val="analysis"/>
      <sheetName val="iterative"/>
      <sheetName val="optim"/>
      <sheetName val="portfolios"/>
      <sheetName val="strategies"/>
      <sheetName val="controls"/>
      <sheetName val="comp"/>
      <sheetName val="data"/>
      <sheetName val="test"/>
      <sheetName val="refresh"/>
      <sheetName val="dep_preliminary"/>
      <sheetName val="dep_mcmc"/>
      <sheetName val="dep_bboptim"/>
      <sheetName val="dep_bb"/>
      <sheetName val="dep_fp"/>
      <sheetName val="dep_opt"/>
      <sheetName val="dep_flux"/>
      <sheetName val="dep_guro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C13" t="str">
            <v>60y</v>
          </cell>
        </row>
        <row r="14">
          <cell r="C14" t="str">
            <v>m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9CDF-50FA-C84D-9CBC-1A46D1F8F67C}">
  <sheetPr codeName="Sheet2"/>
  <dimension ref="A1:H8"/>
  <sheetViews>
    <sheetView zoomScale="121" zoomScaleNormal="120" workbookViewId="0">
      <selection activeCell="E4" sqref="E4"/>
    </sheetView>
  </sheetViews>
  <sheetFormatPr baseColWidth="10" defaultColWidth="8.83203125" defaultRowHeight="15" customHeight="1" x14ac:dyDescent="0.2"/>
  <cols>
    <col min="1" max="1" width="24.83203125" style="2" customWidth="1"/>
    <col min="2" max="3" width="13" style="2" customWidth="1"/>
    <col min="4" max="4" width="97.33203125" style="2" customWidth="1"/>
    <col min="5" max="5" width="8.83203125" style="2"/>
    <col min="6" max="16384" width="8.83203125" style="1"/>
  </cols>
  <sheetData>
    <row r="1" spans="1:8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8" ht="15" customHeight="1" x14ac:dyDescent="0.2">
      <c r="A2" s="2" t="s">
        <v>44</v>
      </c>
      <c r="B2" s="2" t="s">
        <v>36</v>
      </c>
      <c r="D2" s="10" t="str">
        <f>IF(IF(assets!E11&lt;&gt;"",assets!E11,assets!D11)=":quarter",":testpriorsq",IF(IF(assets!E11&lt;&gt;"",assets!E11,assets!D11)=":month",":testpriors","unrecognized"))</f>
        <v>:testpriorsq</v>
      </c>
      <c r="G2" s="2" t="s">
        <v>495</v>
      </c>
    </row>
    <row r="3" spans="1:8" ht="15" customHeight="1" x14ac:dyDescent="0.2">
      <c r="A3" s="2" t="s">
        <v>55</v>
      </c>
      <c r="B3" s="2" t="s">
        <v>36</v>
      </c>
      <c r="D3" s="2" t="s">
        <v>170</v>
      </c>
    </row>
    <row r="4" spans="1:8" ht="15" customHeight="1" x14ac:dyDescent="0.2">
      <c r="A4" s="2" t="s">
        <v>84</v>
      </c>
      <c r="B4" s="2" t="s">
        <v>85</v>
      </c>
      <c r="D4" s="2" t="s">
        <v>598</v>
      </c>
      <c r="E4" s="2" t="s">
        <v>599</v>
      </c>
      <c r="F4" s="2" t="s">
        <v>128</v>
      </c>
      <c r="G4" s="2" t="s">
        <v>128</v>
      </c>
      <c r="H4" s="1" t="s">
        <v>90</v>
      </c>
    </row>
    <row r="5" spans="1:8" ht="15" customHeight="1" x14ac:dyDescent="0.2">
      <c r="A5" s="2" t="s">
        <v>116</v>
      </c>
      <c r="B5" s="2" t="s">
        <v>93</v>
      </c>
      <c r="D5" s="2" t="s">
        <v>118</v>
      </c>
    </row>
    <row r="6" spans="1:8" ht="15" customHeight="1" x14ac:dyDescent="0.2">
      <c r="A6" s="2" t="s">
        <v>117</v>
      </c>
      <c r="B6" s="2" t="s">
        <v>93</v>
      </c>
      <c r="D6" s="2" t="s">
        <v>119</v>
      </c>
    </row>
    <row r="7" spans="1:8" ht="15" customHeight="1" x14ac:dyDescent="0.2">
      <c r="A7" s="2" t="s">
        <v>169</v>
      </c>
      <c r="B7" s="2" t="s">
        <v>36</v>
      </c>
      <c r="D7" s="2" t="s">
        <v>58</v>
      </c>
      <c r="E7" s="2" t="s">
        <v>79</v>
      </c>
    </row>
    <row r="8" spans="1:8" ht="15" customHeight="1" x14ac:dyDescent="0.2">
      <c r="A8" s="2" t="s">
        <v>462</v>
      </c>
      <c r="B8" s="2" t="s">
        <v>463</v>
      </c>
      <c r="D8" s="2" t="s">
        <v>479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C6C7-8FE1-0D49-A2CB-0C7BAD6EFFF7}">
  <dimension ref="A1:L25"/>
  <sheetViews>
    <sheetView topLeftCell="A9" zoomScale="180" workbookViewId="0">
      <selection activeCell="C17" sqref="A16:C17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2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2" ht="15" customHeight="1" x14ac:dyDescent="0.2">
      <c r="A2" s="2" t="s">
        <v>666</v>
      </c>
      <c r="B2" s="2" t="s">
        <v>463</v>
      </c>
      <c r="C2" s="2" t="s">
        <v>457</v>
      </c>
      <c r="D2" s="2" t="s">
        <v>674</v>
      </c>
      <c r="E2" s="2" t="s">
        <v>705</v>
      </c>
      <c r="F2" s="2"/>
      <c r="G2" s="2"/>
      <c r="H2" s="2"/>
      <c r="I2" s="2"/>
      <c r="K2" s="2"/>
      <c r="L2" s="2"/>
    </row>
    <row r="3" spans="1:12" ht="15" customHeight="1" x14ac:dyDescent="0.2">
      <c r="A3" s="2" t="s">
        <v>663</v>
      </c>
      <c r="B3" s="2" t="s">
        <v>64</v>
      </c>
      <c r="C3" s="2" t="s">
        <v>457</v>
      </c>
      <c r="D3" s="2" t="s">
        <v>65</v>
      </c>
      <c r="F3" s="2"/>
      <c r="G3" s="2"/>
      <c r="H3" s="2"/>
      <c r="I3" s="2"/>
      <c r="K3" s="2"/>
      <c r="L3" s="2"/>
    </row>
    <row r="4" spans="1:12" ht="15" customHeight="1" x14ac:dyDescent="0.2">
      <c r="A4" s="2" t="s">
        <v>665</v>
      </c>
      <c r="B4" s="2" t="s">
        <v>36</v>
      </c>
      <c r="C4" s="2" t="s">
        <v>457</v>
      </c>
      <c r="D4" s="36" t="str">
        <f>IF(global!E2&lt;&gt;"",global!E2,global!D2)</f>
        <v>:testpriorsq</v>
      </c>
      <c r="F4" s="2"/>
      <c r="G4" s="2"/>
      <c r="H4" s="2"/>
      <c r="I4" s="2"/>
      <c r="K4" s="2"/>
      <c r="L4" s="2"/>
    </row>
    <row r="5" spans="1:12" ht="15" customHeight="1" x14ac:dyDescent="0.2">
      <c r="A5" s="2" t="s">
        <v>18</v>
      </c>
      <c r="B5" s="2" t="s">
        <v>17</v>
      </c>
      <c r="C5" s="2" t="s">
        <v>457</v>
      </c>
      <c r="D5" s="2" t="s">
        <v>28</v>
      </c>
      <c r="F5" s="2"/>
      <c r="G5"/>
      <c r="H5" s="2"/>
    </row>
    <row r="6" spans="1:12" ht="15" customHeight="1" x14ac:dyDescent="0.2">
      <c r="A6" s="2" t="s">
        <v>24</v>
      </c>
      <c r="B6" s="2" t="s">
        <v>17</v>
      </c>
      <c r="C6" s="2" t="s">
        <v>457</v>
      </c>
      <c r="D6" s="2" t="s">
        <v>31</v>
      </c>
      <c r="F6" s="2"/>
      <c r="G6"/>
    </row>
    <row r="7" spans="1:12" ht="15" customHeight="1" x14ac:dyDescent="0.2">
      <c r="A7" s="2" t="s">
        <v>25</v>
      </c>
      <c r="B7" s="2" t="s">
        <v>17</v>
      </c>
      <c r="C7" s="2" t="s">
        <v>457</v>
      </c>
      <c r="D7" s="2" t="s">
        <v>637</v>
      </c>
    </row>
    <row r="8" spans="1:12" ht="15" customHeight="1" x14ac:dyDescent="0.2">
      <c r="A8" s="2" t="s">
        <v>460</v>
      </c>
      <c r="B8" s="2" t="s">
        <v>0</v>
      </c>
      <c r="C8" s="2" t="s">
        <v>457</v>
      </c>
      <c r="D8" s="27" t="s">
        <v>474</v>
      </c>
      <c r="F8" s="2" t="s">
        <v>664</v>
      </c>
      <c r="G8" s="2"/>
      <c r="H8" s="2"/>
      <c r="I8" s="2"/>
      <c r="K8" s="2"/>
      <c r="L8" s="2"/>
    </row>
    <row r="9" spans="1:12" ht="15" customHeight="1" x14ac:dyDescent="0.2">
      <c r="A9" s="2" t="s">
        <v>461</v>
      </c>
      <c r="B9" s="2" t="s">
        <v>36</v>
      </c>
      <c r="C9" s="2" t="s">
        <v>457</v>
      </c>
      <c r="D9" s="2" t="s">
        <v>471</v>
      </c>
      <c r="F9" s="2" t="s">
        <v>470</v>
      </c>
      <c r="G9" s="2"/>
      <c r="H9" s="2"/>
      <c r="I9" s="2"/>
      <c r="K9" s="2"/>
      <c r="L9" s="2"/>
    </row>
    <row r="10" spans="1:12" ht="15" customHeight="1" x14ac:dyDescent="0.2">
      <c r="A10" s="2" t="s">
        <v>518</v>
      </c>
      <c r="B10" s="2" t="s">
        <v>17</v>
      </c>
      <c r="C10" s="2" t="s">
        <v>457</v>
      </c>
      <c r="D10" s="2" t="s">
        <v>31</v>
      </c>
    </row>
    <row r="11" spans="1:12" ht="15" customHeight="1" x14ac:dyDescent="0.2">
      <c r="A11" s="2" t="s">
        <v>516</v>
      </c>
      <c r="B11" s="2" t="s">
        <v>17</v>
      </c>
      <c r="C11" s="2" t="s">
        <v>457</v>
      </c>
      <c r="D11" s="2" t="s">
        <v>517</v>
      </c>
    </row>
    <row r="12" spans="1:12" ht="15" customHeight="1" x14ac:dyDescent="0.2">
      <c r="A12" s="2" t="s">
        <v>668</v>
      </c>
      <c r="B12" s="2" t="s">
        <v>17</v>
      </c>
      <c r="C12" s="2" t="s">
        <v>457</v>
      </c>
      <c r="D12" s="2" t="s">
        <v>30</v>
      </c>
    </row>
    <row r="13" spans="1:12" ht="15" customHeight="1" x14ac:dyDescent="0.2">
      <c r="A13" s="2" t="s">
        <v>669</v>
      </c>
      <c r="B13" s="2" t="s">
        <v>17</v>
      </c>
      <c r="C13" s="2" t="s">
        <v>457</v>
      </c>
      <c r="D13" s="2" t="s">
        <v>29</v>
      </c>
    </row>
    <row r="14" spans="1:12" ht="15" customHeight="1" x14ac:dyDescent="0.2">
      <c r="A14" s="2" t="s">
        <v>677</v>
      </c>
      <c r="B14" s="2" t="s">
        <v>56</v>
      </c>
      <c r="C14" s="2" t="s">
        <v>457</v>
      </c>
      <c r="D14" s="2" t="s">
        <v>690</v>
      </c>
      <c r="E14" s="2" t="s">
        <v>706</v>
      </c>
      <c r="F14" s="2" t="s">
        <v>698</v>
      </c>
    </row>
    <row r="15" spans="1:12" ht="15" customHeight="1" x14ac:dyDescent="0.2">
      <c r="A15" s="2" t="s">
        <v>688</v>
      </c>
      <c r="B15" s="2" t="s">
        <v>64</v>
      </c>
      <c r="C15" s="2" t="s">
        <v>457</v>
      </c>
      <c r="D15" s="2" t="s">
        <v>75</v>
      </c>
      <c r="F15" s="2"/>
      <c r="G15" s="2"/>
      <c r="H15" s="2"/>
      <c r="I15" s="2"/>
    </row>
    <row r="16" spans="1:12" ht="15" customHeight="1" x14ac:dyDescent="0.2">
      <c r="A16" s="2" t="s">
        <v>694</v>
      </c>
      <c r="B16" s="2" t="s">
        <v>64</v>
      </c>
      <c r="C16" s="2" t="s">
        <v>457</v>
      </c>
      <c r="D16" s="2" t="s">
        <v>75</v>
      </c>
      <c r="F16" s="2"/>
    </row>
    <row r="17" spans="1:9" ht="15" customHeight="1" x14ac:dyDescent="0.2">
      <c r="A17" s="2" t="s">
        <v>695</v>
      </c>
      <c r="B17" s="2" t="s">
        <v>64</v>
      </c>
      <c r="C17" s="2" t="s">
        <v>457</v>
      </c>
      <c r="D17" s="2" t="s">
        <v>75</v>
      </c>
      <c r="F17" s="2"/>
    </row>
    <row r="18" spans="1:9" ht="15" customHeight="1" x14ac:dyDescent="0.2">
      <c r="A18" s="2" t="s">
        <v>684</v>
      </c>
      <c r="B18" s="2" t="s">
        <v>17</v>
      </c>
      <c r="C18" s="2" t="s">
        <v>457</v>
      </c>
      <c r="D18" s="2" t="s">
        <v>59</v>
      </c>
      <c r="F18" s="2" t="s">
        <v>691</v>
      </c>
      <c r="I18" s="2"/>
    </row>
    <row r="19" spans="1:9" ht="15" customHeight="1" x14ac:dyDescent="0.2">
      <c r="A19" s="2" t="s">
        <v>685</v>
      </c>
      <c r="B19" s="2" t="s">
        <v>17</v>
      </c>
      <c r="C19" s="2" t="s">
        <v>457</v>
      </c>
      <c r="D19" s="2" t="s">
        <v>41</v>
      </c>
      <c r="F19" s="2"/>
      <c r="I19" s="2"/>
    </row>
    <row r="20" spans="1:9" ht="15" customHeight="1" x14ac:dyDescent="0.2">
      <c r="A20" s="2" t="s">
        <v>686</v>
      </c>
      <c r="B20" s="2" t="s">
        <v>17</v>
      </c>
      <c r="C20" s="2" t="s">
        <v>457</v>
      </c>
      <c r="D20" s="2" t="s">
        <v>59</v>
      </c>
      <c r="F20" s="2"/>
      <c r="I20" s="2"/>
    </row>
    <row r="21" spans="1:9" ht="15" customHeight="1" x14ac:dyDescent="0.2">
      <c r="A21" s="2" t="s">
        <v>687</v>
      </c>
      <c r="B21" s="2" t="s">
        <v>17</v>
      </c>
      <c r="C21" s="2" t="s">
        <v>457</v>
      </c>
      <c r="D21" s="2" t="s">
        <v>41</v>
      </c>
      <c r="F21" s="2"/>
      <c r="I21" s="2"/>
    </row>
    <row r="22" spans="1:9" ht="15" customHeight="1" x14ac:dyDescent="0.2">
      <c r="A22" s="2" t="s">
        <v>692</v>
      </c>
      <c r="B22" s="2" t="s">
        <v>36</v>
      </c>
      <c r="C22" s="2" t="s">
        <v>457</v>
      </c>
      <c r="D22" s="2" t="s">
        <v>693</v>
      </c>
      <c r="E22" s="2" t="s">
        <v>696</v>
      </c>
      <c r="F22" s="1" t="s">
        <v>701</v>
      </c>
      <c r="G22" s="2" t="s">
        <v>696</v>
      </c>
    </row>
    <row r="23" spans="1:9" ht="15" customHeight="1" x14ac:dyDescent="0.2">
      <c r="A23" s="2" t="s">
        <v>702</v>
      </c>
      <c r="B23" s="2" t="s">
        <v>17</v>
      </c>
      <c r="C23" s="2" t="s">
        <v>457</v>
      </c>
      <c r="D23" s="2" t="s">
        <v>126</v>
      </c>
    </row>
    <row r="24" spans="1:9" ht="15" customHeight="1" x14ac:dyDescent="0.2">
      <c r="A24" s="2" t="s">
        <v>703</v>
      </c>
      <c r="B24" s="2" t="s">
        <v>17</v>
      </c>
      <c r="C24" s="2" t="s">
        <v>457</v>
      </c>
      <c r="D24" s="2" t="s">
        <v>615</v>
      </c>
    </row>
    <row r="25" spans="1:9" ht="15" customHeight="1" x14ac:dyDescent="0.2">
      <c r="A25" s="2" t="s">
        <v>704</v>
      </c>
      <c r="B25" s="2" t="s">
        <v>64</v>
      </c>
      <c r="C25" s="2" t="s">
        <v>457</v>
      </c>
      <c r="D25" s="2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D8B2-4FDC-B74E-A636-C149D9639042}">
  <sheetPr codeName="Sheet17"/>
  <dimension ref="A1:L23"/>
  <sheetViews>
    <sheetView zoomScale="180" workbookViewId="0">
      <selection activeCell="A14" sqref="A14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2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2" ht="15" customHeight="1" x14ac:dyDescent="0.2">
      <c r="A2" s="2" t="s">
        <v>666</v>
      </c>
      <c r="B2" s="2" t="s">
        <v>463</v>
      </c>
      <c r="C2" s="2" t="s">
        <v>457</v>
      </c>
      <c r="D2" s="2" t="s">
        <v>674</v>
      </c>
      <c r="F2" s="2"/>
      <c r="G2" s="2"/>
      <c r="H2" s="2"/>
      <c r="I2" s="2"/>
      <c r="K2" s="2"/>
      <c r="L2" s="2"/>
    </row>
    <row r="3" spans="1:12" ht="15" customHeight="1" x14ac:dyDescent="0.2">
      <c r="A3" s="2" t="s">
        <v>663</v>
      </c>
      <c r="B3" s="2" t="s">
        <v>64</v>
      </c>
      <c r="C3" s="2" t="s">
        <v>457</v>
      </c>
      <c r="D3" s="2" t="s">
        <v>65</v>
      </c>
      <c r="F3" s="2"/>
      <c r="G3" s="2"/>
      <c r="H3" s="2"/>
      <c r="I3" s="2"/>
      <c r="K3" s="2"/>
      <c r="L3" s="2"/>
    </row>
    <row r="4" spans="1:12" ht="15" customHeight="1" x14ac:dyDescent="0.2">
      <c r="A4" s="2" t="s">
        <v>665</v>
      </c>
      <c r="B4" s="2" t="s">
        <v>36</v>
      </c>
      <c r="C4" s="2" t="s">
        <v>457</v>
      </c>
      <c r="D4" s="1" t="str">
        <f>IF(global!E2&lt;&gt;"",global!E2,global!D2)</f>
        <v>:testpriorsq</v>
      </c>
      <c r="F4" s="2"/>
      <c r="G4" s="2"/>
      <c r="H4" s="2"/>
      <c r="I4" s="2"/>
      <c r="K4" s="2"/>
      <c r="L4" s="2"/>
    </row>
    <row r="5" spans="1:12" ht="15" customHeight="1" x14ac:dyDescent="0.2">
      <c r="A5" s="2" t="s">
        <v>18</v>
      </c>
      <c r="B5" s="2" t="s">
        <v>17</v>
      </c>
      <c r="C5" s="2" t="s">
        <v>457</v>
      </c>
      <c r="D5" s="2" t="s">
        <v>28</v>
      </c>
      <c r="F5" s="2"/>
      <c r="G5"/>
      <c r="H5" s="2"/>
    </row>
    <row r="6" spans="1:12" ht="15" customHeight="1" x14ac:dyDescent="0.2">
      <c r="A6" s="2" t="s">
        <v>24</v>
      </c>
      <c r="B6" s="2" t="s">
        <v>17</v>
      </c>
      <c r="C6" s="2" t="s">
        <v>457</v>
      </c>
      <c r="D6" s="2" t="s">
        <v>31</v>
      </c>
      <c r="F6" s="2"/>
      <c r="G6"/>
    </row>
    <row r="7" spans="1:12" ht="15" customHeight="1" x14ac:dyDescent="0.2">
      <c r="A7" s="2" t="s">
        <v>25</v>
      </c>
      <c r="B7" s="2" t="s">
        <v>17</v>
      </c>
      <c r="C7" s="2" t="s">
        <v>457</v>
      </c>
      <c r="D7" s="2" t="s">
        <v>637</v>
      </c>
    </row>
    <row r="8" spans="1:12" ht="15" customHeight="1" x14ac:dyDescent="0.2">
      <c r="A8" s="2" t="s">
        <v>458</v>
      </c>
      <c r="B8" s="2" t="s">
        <v>17</v>
      </c>
      <c r="C8" s="2" t="s">
        <v>457</v>
      </c>
      <c r="D8" s="2" t="s">
        <v>29</v>
      </c>
      <c r="F8" s="2"/>
      <c r="G8" s="2"/>
      <c r="H8" s="2"/>
      <c r="I8" s="2"/>
      <c r="K8" s="2"/>
      <c r="L8" s="2"/>
    </row>
    <row r="9" spans="1:12" ht="15" customHeight="1" x14ac:dyDescent="0.2">
      <c r="A9" s="2" t="s">
        <v>460</v>
      </c>
      <c r="B9" s="2" t="s">
        <v>0</v>
      </c>
      <c r="C9" s="2" t="s">
        <v>457</v>
      </c>
      <c r="D9" s="27" t="s">
        <v>474</v>
      </c>
      <c r="F9" s="2" t="s">
        <v>664</v>
      </c>
      <c r="G9" s="2"/>
      <c r="H9" s="2"/>
      <c r="I9" s="2"/>
      <c r="K9" s="2"/>
      <c r="L9" s="2"/>
    </row>
    <row r="10" spans="1:12" ht="15" customHeight="1" x14ac:dyDescent="0.2">
      <c r="A10" s="2" t="s">
        <v>461</v>
      </c>
      <c r="B10" s="2" t="s">
        <v>36</v>
      </c>
      <c r="C10" s="2" t="s">
        <v>457</v>
      </c>
      <c r="D10" s="2" t="s">
        <v>471</v>
      </c>
      <c r="F10" s="2" t="s">
        <v>470</v>
      </c>
      <c r="G10" s="2"/>
      <c r="H10" s="2"/>
      <c r="I10" s="2"/>
      <c r="K10" s="2"/>
      <c r="L10" s="2"/>
    </row>
    <row r="11" spans="1:12" ht="15" customHeight="1" x14ac:dyDescent="0.2">
      <c r="A11" s="2" t="s">
        <v>465</v>
      </c>
      <c r="B11" s="2" t="s">
        <v>17</v>
      </c>
      <c r="C11" s="2" t="s">
        <v>457</v>
      </c>
      <c r="D11" s="2" t="s">
        <v>132</v>
      </c>
      <c r="F11" s="2"/>
      <c r="I11" s="2"/>
    </row>
    <row r="12" spans="1:12" ht="15" customHeight="1" x14ac:dyDescent="0.2">
      <c r="A12" s="2" t="s">
        <v>466</v>
      </c>
      <c r="B12" s="2" t="s">
        <v>17</v>
      </c>
      <c r="C12" s="2" t="s">
        <v>457</v>
      </c>
      <c r="D12" s="2" t="s">
        <v>467</v>
      </c>
      <c r="F12" s="2"/>
      <c r="I12" s="2"/>
    </row>
    <row r="13" spans="1:12" ht="15" customHeight="1" x14ac:dyDescent="0.2">
      <c r="A13" s="2" t="s">
        <v>468</v>
      </c>
      <c r="B13" s="2" t="s">
        <v>17</v>
      </c>
      <c r="C13" s="2" t="s">
        <v>457</v>
      </c>
      <c r="D13" s="2" t="s">
        <v>59</v>
      </c>
      <c r="F13" s="2"/>
      <c r="I13" s="2"/>
    </row>
    <row r="14" spans="1:12" ht="15" customHeight="1" x14ac:dyDescent="0.2">
      <c r="A14" s="2" t="s">
        <v>469</v>
      </c>
      <c r="B14" s="2" t="s">
        <v>17</v>
      </c>
      <c r="C14" s="2" t="s">
        <v>457</v>
      </c>
      <c r="D14" s="2" t="s">
        <v>41</v>
      </c>
      <c r="F14" s="2"/>
      <c r="I14" s="2"/>
    </row>
    <row r="15" spans="1:12" ht="15" customHeight="1" x14ac:dyDescent="0.2">
      <c r="A15" s="2" t="s">
        <v>518</v>
      </c>
      <c r="B15" s="2" t="s">
        <v>17</v>
      </c>
      <c r="C15" s="2" t="s">
        <v>457</v>
      </c>
      <c r="D15" s="2" t="s">
        <v>31</v>
      </c>
    </row>
    <row r="16" spans="1:12" ht="15" customHeight="1" x14ac:dyDescent="0.2">
      <c r="A16" s="2" t="s">
        <v>516</v>
      </c>
      <c r="B16" s="2" t="s">
        <v>17</v>
      </c>
      <c r="C16" s="2" t="s">
        <v>457</v>
      </c>
      <c r="D16" s="2" t="s">
        <v>517</v>
      </c>
    </row>
    <row r="17" spans="1:9" ht="15" customHeight="1" x14ac:dyDescent="0.2">
      <c r="A17" s="2" t="s">
        <v>668</v>
      </c>
      <c r="B17" s="2" t="s">
        <v>17</v>
      </c>
      <c r="C17" s="2" t="s">
        <v>457</v>
      </c>
      <c r="D17" s="2" t="s">
        <v>30</v>
      </c>
    </row>
    <row r="18" spans="1:9" ht="15" customHeight="1" x14ac:dyDescent="0.2">
      <c r="A18" s="2" t="s">
        <v>669</v>
      </c>
      <c r="B18" s="2" t="s">
        <v>17</v>
      </c>
      <c r="C18" s="2" t="s">
        <v>457</v>
      </c>
      <c r="D18" s="2" t="s">
        <v>29</v>
      </c>
    </row>
    <row r="19" spans="1:9" ht="15" customHeight="1" x14ac:dyDescent="0.2">
      <c r="A19" s="2" t="s">
        <v>677</v>
      </c>
      <c r="B19" s="2" t="s">
        <v>56</v>
      </c>
      <c r="C19" s="2" t="s">
        <v>457</v>
      </c>
      <c r="D19" s="2" t="s">
        <v>91</v>
      </c>
    </row>
    <row r="20" spans="1:9" ht="15" customHeight="1" x14ac:dyDescent="0.2">
      <c r="A20" s="2" t="s">
        <v>678</v>
      </c>
      <c r="B20" s="2" t="s">
        <v>37</v>
      </c>
      <c r="C20" s="2" t="s">
        <v>457</v>
      </c>
      <c r="D20" s="2" t="s">
        <v>92</v>
      </c>
    </row>
    <row r="21" spans="1:9" ht="15" customHeight="1" x14ac:dyDescent="0.2">
      <c r="F21" s="2"/>
      <c r="G21" s="2"/>
      <c r="H21" s="2"/>
      <c r="I21" s="2"/>
    </row>
    <row r="22" spans="1:9" ht="15" customHeight="1" x14ac:dyDescent="0.2">
      <c r="F22" s="2"/>
    </row>
    <row r="23" spans="1:9" ht="15" customHeight="1" x14ac:dyDescent="0.2">
      <c r="F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3056-E2E0-D64B-9B81-A7CBA3A9FE16}">
  <sheetPr codeName="Sheet5"/>
  <dimension ref="A1:J28"/>
  <sheetViews>
    <sheetView zoomScale="170" zoomScaleNormal="170" workbookViewId="0">
      <selection activeCell="D8" sqref="D7:D8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0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  <c r="I1" s="2"/>
      <c r="J1" s="2" t="s">
        <v>614</v>
      </c>
    </row>
    <row r="2" spans="1:10" ht="15" customHeight="1" x14ac:dyDescent="0.2">
      <c r="A2" s="2" t="s">
        <v>18</v>
      </c>
      <c r="B2" s="2" t="s">
        <v>17</v>
      </c>
      <c r="C2" s="2" t="s">
        <v>34</v>
      </c>
      <c r="D2" s="2" t="s">
        <v>28</v>
      </c>
      <c r="I2" s="2"/>
      <c r="J2" s="2"/>
    </row>
    <row r="3" spans="1:10" ht="15" customHeight="1" x14ac:dyDescent="0.2">
      <c r="A3" s="2" t="s">
        <v>53</v>
      </c>
      <c r="B3" s="2" t="s">
        <v>17</v>
      </c>
      <c r="C3" s="2" t="s">
        <v>34</v>
      </c>
      <c r="D3" s="2" t="s">
        <v>452</v>
      </c>
      <c r="F3" s="2" t="s">
        <v>446</v>
      </c>
      <c r="J3" s="2" t="s">
        <v>452</v>
      </c>
    </row>
    <row r="4" spans="1:10" ht="15" customHeight="1" x14ac:dyDescent="0.2">
      <c r="A4" s="2" t="s">
        <v>19</v>
      </c>
      <c r="B4" s="2" t="s">
        <v>17</v>
      </c>
      <c r="C4" s="2" t="s">
        <v>34</v>
      </c>
      <c r="D4" s="2" t="s">
        <v>452</v>
      </c>
      <c r="F4" s="2" t="s">
        <v>447</v>
      </c>
      <c r="J4" s="2" t="s">
        <v>452</v>
      </c>
    </row>
    <row r="5" spans="1:10" ht="15" customHeight="1" x14ac:dyDescent="0.2">
      <c r="A5" s="2" t="s">
        <v>20</v>
      </c>
      <c r="B5" s="2" t="s">
        <v>17</v>
      </c>
      <c r="C5" s="2" t="s">
        <v>34</v>
      </c>
      <c r="D5" s="2">
        <v>1.2345679012345678</v>
      </c>
      <c r="F5" s="2">
        <v>0.02</v>
      </c>
      <c r="G5" s="2"/>
      <c r="H5" s="2"/>
      <c r="I5" s="2"/>
      <c r="J5" s="2">
        <v>1.2345679012345678</v>
      </c>
    </row>
    <row r="6" spans="1:10" ht="15" customHeight="1" x14ac:dyDescent="0.2">
      <c r="A6" s="2" t="s">
        <v>21</v>
      </c>
      <c r="B6" s="2" t="s">
        <v>17</v>
      </c>
      <c r="C6" s="2" t="s">
        <v>34</v>
      </c>
      <c r="D6" s="2">
        <v>2.3456790123456785E-5</v>
      </c>
      <c r="F6" s="2">
        <v>0.9</v>
      </c>
      <c r="G6" s="2"/>
      <c r="H6" s="2"/>
      <c r="I6" s="2"/>
      <c r="J6" s="2">
        <v>9.3827160493827139E-5</v>
      </c>
    </row>
    <row r="7" spans="1:10" ht="15" customHeight="1" x14ac:dyDescent="0.2">
      <c r="A7" s="2" t="s">
        <v>22</v>
      </c>
      <c r="B7" s="2" t="s">
        <v>17</v>
      </c>
      <c r="C7" s="2" t="s">
        <v>34</v>
      </c>
      <c r="D7" s="2">
        <v>1.2345679012345678</v>
      </c>
      <c r="F7" s="2">
        <v>0.05</v>
      </c>
      <c r="G7" s="2"/>
      <c r="H7" s="2"/>
      <c r="I7" s="2"/>
      <c r="J7" s="2">
        <v>1.2345679012345678</v>
      </c>
    </row>
    <row r="8" spans="1:10" ht="15" customHeight="1" x14ac:dyDescent="0.2">
      <c r="A8" s="2" t="s">
        <v>23</v>
      </c>
      <c r="B8" s="2" t="s">
        <v>17</v>
      </c>
      <c r="C8" s="2" t="s">
        <v>34</v>
      </c>
      <c r="D8" s="2">
        <v>5.8641975308641969</v>
      </c>
      <c r="F8" s="1">
        <v>0.8421052631578948</v>
      </c>
      <c r="G8" s="2"/>
      <c r="H8" s="2"/>
      <c r="I8" s="2"/>
      <c r="J8" s="2">
        <v>23.456790123456788</v>
      </c>
    </row>
    <row r="9" spans="1:10" ht="15" customHeight="1" x14ac:dyDescent="0.2">
      <c r="A9" s="2" t="s">
        <v>234</v>
      </c>
      <c r="B9" s="2" t="s">
        <v>17</v>
      </c>
      <c r="C9" s="2" t="s">
        <v>34</v>
      </c>
      <c r="D9" s="2" t="s">
        <v>195</v>
      </c>
      <c r="F9" s="2">
        <v>5.2631578947368425E-2</v>
      </c>
      <c r="I9" s="2"/>
      <c r="J9" s="2"/>
    </row>
    <row r="10" spans="1:10" ht="15" customHeight="1" x14ac:dyDescent="0.2">
      <c r="A10" s="2" t="s">
        <v>235</v>
      </c>
      <c r="B10" s="2" t="s">
        <v>196</v>
      </c>
      <c r="C10" s="2" t="s">
        <v>34</v>
      </c>
      <c r="D10" s="2" t="s">
        <v>195</v>
      </c>
      <c r="F10" s="2"/>
      <c r="I10" s="2"/>
      <c r="J10" s="2"/>
    </row>
    <row r="11" spans="1:10" ht="15" customHeight="1" x14ac:dyDescent="0.2">
      <c r="A11" s="2" t="s">
        <v>237</v>
      </c>
      <c r="B11" s="2" t="s">
        <v>17</v>
      </c>
      <c r="C11" s="2" t="s">
        <v>34</v>
      </c>
      <c r="D11" s="2" t="s">
        <v>195</v>
      </c>
      <c r="F11" s="2"/>
      <c r="I11" s="2"/>
      <c r="J11" s="2"/>
    </row>
    <row r="12" spans="1:10" ht="15" customHeight="1" x14ac:dyDescent="0.2">
      <c r="A12" s="2" t="s">
        <v>236</v>
      </c>
      <c r="B12" s="2" t="s">
        <v>196</v>
      </c>
      <c r="C12" s="2" t="s">
        <v>34</v>
      </c>
      <c r="D12" s="2" t="s">
        <v>195</v>
      </c>
      <c r="F12" s="2"/>
      <c r="I12" s="2"/>
      <c r="J12" s="2"/>
    </row>
    <row r="13" spans="1:10" ht="15" customHeight="1" x14ac:dyDescent="0.2">
      <c r="A13" s="2" t="s">
        <v>24</v>
      </c>
      <c r="B13" s="2" t="s">
        <v>17</v>
      </c>
      <c r="C13" s="2" t="s">
        <v>34</v>
      </c>
      <c r="D13" s="2" t="s">
        <v>31</v>
      </c>
      <c r="E13" s="1"/>
    </row>
    <row r="14" spans="1:10" ht="15" customHeight="1" x14ac:dyDescent="0.2">
      <c r="A14" s="2" t="s">
        <v>25</v>
      </c>
      <c r="B14" s="2" t="s">
        <v>17</v>
      </c>
      <c r="C14" s="2" t="s">
        <v>34</v>
      </c>
      <c r="D14" s="2" t="s">
        <v>637</v>
      </c>
      <c r="J14" s="2"/>
    </row>
    <row r="15" spans="1:10" ht="15" customHeight="1" x14ac:dyDescent="0.2">
      <c r="A15" s="2" t="s">
        <v>27</v>
      </c>
      <c r="B15" s="2" t="s">
        <v>17</v>
      </c>
      <c r="C15" s="2" t="s">
        <v>34</v>
      </c>
      <c r="D15" s="2" t="s">
        <v>33</v>
      </c>
      <c r="G15" s="2"/>
      <c r="I15" s="2"/>
      <c r="J15" s="2"/>
    </row>
    <row r="16" spans="1:10" ht="15" customHeight="1" x14ac:dyDescent="0.2">
      <c r="A16" s="2" t="s">
        <v>26</v>
      </c>
      <c r="B16" s="2" t="s">
        <v>17</v>
      </c>
      <c r="C16" s="2" t="s">
        <v>34</v>
      </c>
      <c r="D16" s="2" t="s">
        <v>32</v>
      </c>
      <c r="G16" s="2"/>
      <c r="I16" s="2"/>
      <c r="J16" s="2"/>
    </row>
    <row r="17" spans="1:10" ht="15" customHeight="1" x14ac:dyDescent="0.2">
      <c r="A17" s="2" t="s">
        <v>45</v>
      </c>
      <c r="B17" s="2" t="s">
        <v>48</v>
      </c>
      <c r="C17" s="2" t="s">
        <v>34</v>
      </c>
      <c r="D17" s="2" t="s">
        <v>60</v>
      </c>
      <c r="J17" s="2"/>
    </row>
    <row r="18" spans="1:10" ht="15" customHeight="1" x14ac:dyDescent="0.2">
      <c r="A18" s="2" t="s">
        <v>518</v>
      </c>
      <c r="B18" s="2" t="s">
        <v>17</v>
      </c>
      <c r="C18" s="2" t="s">
        <v>34</v>
      </c>
      <c r="D18" s="2" t="s">
        <v>31</v>
      </c>
      <c r="J18" s="2"/>
    </row>
    <row r="19" spans="1:10" ht="15" customHeight="1" x14ac:dyDescent="0.2">
      <c r="A19" s="2" t="s">
        <v>516</v>
      </c>
      <c r="B19" s="2" t="s">
        <v>17</v>
      </c>
      <c r="C19" s="2" t="s">
        <v>34</v>
      </c>
      <c r="D19" s="2" t="s">
        <v>517</v>
      </c>
      <c r="J19" s="2"/>
    </row>
    <row r="20" spans="1:10" ht="15" customHeight="1" x14ac:dyDescent="0.2">
      <c r="A20" s="2" t="s">
        <v>49</v>
      </c>
      <c r="B20" s="2" t="s">
        <v>50</v>
      </c>
      <c r="C20" s="2" t="s">
        <v>34</v>
      </c>
      <c r="D20" s="2" t="s">
        <v>520</v>
      </c>
      <c r="G20" s="2" t="s">
        <v>508</v>
      </c>
      <c r="H20" s="2" t="s">
        <v>514</v>
      </c>
      <c r="J20" s="2"/>
    </row>
    <row r="21" spans="1:10" ht="15" customHeight="1" x14ac:dyDescent="0.2">
      <c r="A21" s="2" t="s">
        <v>509</v>
      </c>
      <c r="B21" s="2" t="s">
        <v>266</v>
      </c>
      <c r="C21" s="2" t="s">
        <v>34</v>
      </c>
      <c r="D21" s="2" t="s">
        <v>507</v>
      </c>
      <c r="J21" s="2"/>
    </row>
    <row r="22" spans="1:10" ht="15" customHeight="1" x14ac:dyDescent="0.2">
      <c r="A22" s="2" t="s">
        <v>506</v>
      </c>
      <c r="B22" s="2" t="s">
        <v>17</v>
      </c>
      <c r="C22" s="2" t="s">
        <v>34</v>
      </c>
      <c r="D22" s="2" t="s">
        <v>605</v>
      </c>
      <c r="J22" s="2"/>
    </row>
    <row r="23" spans="1:10" ht="15" customHeight="1" x14ac:dyDescent="0.2">
      <c r="A23" s="2" t="s">
        <v>46</v>
      </c>
      <c r="B23" s="2" t="s">
        <v>48</v>
      </c>
      <c r="C23" s="2" t="s">
        <v>34</v>
      </c>
      <c r="D23" s="2" t="s">
        <v>284</v>
      </c>
      <c r="F23" s="2"/>
      <c r="J23" s="2" t="s">
        <v>284</v>
      </c>
    </row>
    <row r="24" spans="1:10" ht="15" customHeight="1" x14ac:dyDescent="0.2">
      <c r="A24" s="2" t="s">
        <v>229</v>
      </c>
      <c r="B24" s="2" t="s">
        <v>48</v>
      </c>
      <c r="C24" s="2" t="s">
        <v>34</v>
      </c>
      <c r="D24" s="2" t="s">
        <v>47</v>
      </c>
      <c r="F24" s="2"/>
      <c r="J24" s="2"/>
    </row>
    <row r="25" spans="1:10" ht="15" customHeight="1" x14ac:dyDescent="0.2">
      <c r="A25" s="2" t="s">
        <v>265</v>
      </c>
      <c r="B25" s="2" t="s">
        <v>266</v>
      </c>
      <c r="C25" s="2" t="s">
        <v>34</v>
      </c>
      <c r="D25" s="2" t="s">
        <v>512</v>
      </c>
      <c r="F25" s="2"/>
      <c r="J25" s="2" t="s">
        <v>267</v>
      </c>
    </row>
    <row r="26" spans="1:10" ht="15" customHeight="1" x14ac:dyDescent="0.2">
      <c r="A26" s="2" t="s">
        <v>51</v>
      </c>
      <c r="B26" s="2" t="s">
        <v>48</v>
      </c>
      <c r="C26" s="2" t="s">
        <v>34</v>
      </c>
      <c r="D26" s="2" t="s">
        <v>519</v>
      </c>
      <c r="F26" s="2"/>
      <c r="G26" s="2" t="s">
        <v>219</v>
      </c>
      <c r="H26" s="2" t="s">
        <v>499</v>
      </c>
      <c r="I26" s="2"/>
      <c r="J26" s="2"/>
    </row>
    <row r="27" spans="1:10" ht="15" customHeight="1" x14ac:dyDescent="0.2">
      <c r="A27" s="2" t="s">
        <v>498</v>
      </c>
      <c r="B27" s="2" t="s">
        <v>266</v>
      </c>
      <c r="C27" s="2" t="s">
        <v>34</v>
      </c>
      <c r="D27" s="2" t="s">
        <v>502</v>
      </c>
      <c r="J27" s="2"/>
    </row>
    <row r="28" spans="1:10" ht="15" customHeight="1" x14ac:dyDescent="0.2">
      <c r="A28" s="2" t="s">
        <v>500</v>
      </c>
      <c r="B28" s="2" t="s">
        <v>17</v>
      </c>
      <c r="C28" s="2" t="s">
        <v>34</v>
      </c>
      <c r="D28" s="2" t="s">
        <v>29</v>
      </c>
      <c r="J28" s="2"/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3442-2A46-6044-8D81-0D2BCF91CC38}">
  <sheetPr codeName="Sheet13"/>
  <dimension ref="A1:M28"/>
  <sheetViews>
    <sheetView topLeftCell="A7" zoomScale="178" workbookViewId="0">
      <selection activeCell="E25" sqref="E25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3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3" ht="15" customHeight="1" x14ac:dyDescent="0.2">
      <c r="A2" s="2" t="s">
        <v>18</v>
      </c>
      <c r="B2" s="2" t="s">
        <v>17</v>
      </c>
      <c r="C2" s="2" t="s">
        <v>203</v>
      </c>
      <c r="D2" s="2" t="s">
        <v>28</v>
      </c>
      <c r="H2" s="2" t="s">
        <v>655</v>
      </c>
    </row>
    <row r="3" spans="1:13" ht="15" customHeight="1" x14ac:dyDescent="0.2">
      <c r="A3" s="2" t="s">
        <v>53</v>
      </c>
      <c r="B3" s="2" t="s">
        <v>17</v>
      </c>
      <c r="C3" s="2" t="s">
        <v>203</v>
      </c>
      <c r="D3" s="2">
        <v>1.2507288629737607</v>
      </c>
      <c r="G3" t="s">
        <v>658</v>
      </c>
      <c r="H3" s="2"/>
    </row>
    <row r="4" spans="1:13" ht="15" customHeight="1" x14ac:dyDescent="0.2">
      <c r="A4" s="2" t="s">
        <v>19</v>
      </c>
      <c r="B4" s="2" t="s">
        <v>17</v>
      </c>
      <c r="C4" s="2" t="s">
        <v>203</v>
      </c>
      <c r="D4" s="2">
        <v>1.6676384839650142</v>
      </c>
      <c r="G4"/>
      <c r="H4" s="2" t="s">
        <v>447</v>
      </c>
      <c r="I4" s="1" t="s">
        <v>221</v>
      </c>
    </row>
    <row r="5" spans="1:13" ht="15" customHeight="1" x14ac:dyDescent="0.2">
      <c r="A5" s="2" t="s">
        <v>20</v>
      </c>
      <c r="B5" s="2" t="s">
        <v>17</v>
      </c>
      <c r="C5" s="2" t="s">
        <v>203</v>
      </c>
      <c r="D5" s="2">
        <v>1.2345679012345678</v>
      </c>
      <c r="F5" s="2" t="s">
        <v>71</v>
      </c>
      <c r="G5" s="2">
        <v>1.2345679012345678</v>
      </c>
      <c r="H5" s="2"/>
      <c r="I5" s="2">
        <v>1.2345679012345678</v>
      </c>
      <c r="K5" s="2">
        <v>1.2345679012345678</v>
      </c>
      <c r="L5" s="2">
        <v>0.02</v>
      </c>
    </row>
    <row r="6" spans="1:13" ht="15" customHeight="1" x14ac:dyDescent="0.2">
      <c r="A6" s="2" t="s">
        <v>21</v>
      </c>
      <c r="B6" s="2" t="s">
        <v>17</v>
      </c>
      <c r="C6" s="2" t="s">
        <v>203</v>
      </c>
      <c r="D6" s="2">
        <v>9.3827160493827139E-5</v>
      </c>
      <c r="F6" s="2">
        <v>0.9</v>
      </c>
      <c r="G6" s="2">
        <v>9.3827160493827139E-5</v>
      </c>
      <c r="H6" s="2"/>
      <c r="I6" s="2">
        <v>2.345679012345679E-3</v>
      </c>
      <c r="K6" s="2">
        <v>9.3827160493827139E-5</v>
      </c>
      <c r="L6" s="2">
        <v>0.9</v>
      </c>
    </row>
    <row r="7" spans="1:13" ht="15" customHeight="1" x14ac:dyDescent="0.2">
      <c r="A7" s="2" t="s">
        <v>22</v>
      </c>
      <c r="B7" s="2" t="s">
        <v>17</v>
      </c>
      <c r="C7" s="2" t="s">
        <v>203</v>
      </c>
      <c r="D7" s="2">
        <v>1.2345679012345678</v>
      </c>
      <c r="F7" s="2" t="s">
        <v>636</v>
      </c>
      <c r="G7" s="2">
        <v>1.2345679012345678</v>
      </c>
      <c r="H7" s="2"/>
      <c r="I7" s="2" t="s">
        <v>41</v>
      </c>
      <c r="K7" s="2">
        <v>1.2345679012345678</v>
      </c>
      <c r="L7" s="2">
        <v>0.05</v>
      </c>
    </row>
    <row r="8" spans="1:13" ht="15" customHeight="1" x14ac:dyDescent="0.2">
      <c r="A8" s="2" t="s">
        <v>23</v>
      </c>
      <c r="B8" s="2" t="s">
        <v>17</v>
      </c>
      <c r="C8" s="2" t="s">
        <v>203</v>
      </c>
      <c r="D8" s="2">
        <v>5.8641975308641969</v>
      </c>
      <c r="F8" s="2"/>
      <c r="G8" s="2">
        <v>5.8641975308641969</v>
      </c>
      <c r="H8" s="2"/>
      <c r="I8" s="2" t="s">
        <v>41</v>
      </c>
      <c r="K8" s="2">
        <v>1.4660493827160492</v>
      </c>
      <c r="L8" s="2">
        <v>0.9</v>
      </c>
      <c r="M8" s="2">
        <f>E8/(E7-1)*E6/(E5-1)</f>
        <v>0</v>
      </c>
    </row>
    <row r="9" spans="1:13" ht="15" customHeight="1" x14ac:dyDescent="0.2">
      <c r="A9" s="2" t="s">
        <v>234</v>
      </c>
      <c r="B9" s="2" t="s">
        <v>17</v>
      </c>
      <c r="C9" s="2" t="s">
        <v>203</v>
      </c>
      <c r="D9" s="2" t="s">
        <v>195</v>
      </c>
      <c r="F9" s="2"/>
      <c r="I9" s="2"/>
    </row>
    <row r="10" spans="1:13" ht="15" customHeight="1" x14ac:dyDescent="0.2">
      <c r="A10" s="2" t="s">
        <v>235</v>
      </c>
      <c r="B10" s="2" t="s">
        <v>196</v>
      </c>
      <c r="C10" s="2" t="s">
        <v>203</v>
      </c>
      <c r="D10" s="2" t="s">
        <v>195</v>
      </c>
      <c r="F10" s="2"/>
      <c r="I10" s="2"/>
    </row>
    <row r="11" spans="1:13" ht="15" customHeight="1" x14ac:dyDescent="0.2">
      <c r="A11" s="2" t="s">
        <v>237</v>
      </c>
      <c r="B11" s="2" t="s">
        <v>17</v>
      </c>
      <c r="C11" s="2" t="s">
        <v>203</v>
      </c>
      <c r="D11" s="2" t="s">
        <v>195</v>
      </c>
      <c r="F11" s="2"/>
      <c r="I11" s="2"/>
    </row>
    <row r="12" spans="1:13" ht="15" customHeight="1" x14ac:dyDescent="0.2">
      <c r="A12" s="2" t="s">
        <v>236</v>
      </c>
      <c r="B12" s="2" t="s">
        <v>196</v>
      </c>
      <c r="C12" s="2" t="s">
        <v>203</v>
      </c>
      <c r="D12" s="2" t="s">
        <v>195</v>
      </c>
      <c r="F12" s="2"/>
      <c r="I12" s="2"/>
    </row>
    <row r="13" spans="1:13" ht="15" customHeight="1" x14ac:dyDescent="0.2">
      <c r="A13" s="2" t="s">
        <v>24</v>
      </c>
      <c r="B13" s="2" t="s">
        <v>17</v>
      </c>
      <c r="C13" s="2" t="s">
        <v>203</v>
      </c>
      <c r="D13" s="2" t="s">
        <v>31</v>
      </c>
    </row>
    <row r="14" spans="1:13" ht="15" customHeight="1" x14ac:dyDescent="0.2">
      <c r="A14" s="2" t="s">
        <v>25</v>
      </c>
      <c r="B14" s="2" t="s">
        <v>17</v>
      </c>
      <c r="C14" s="2" t="s">
        <v>203</v>
      </c>
      <c r="D14" s="2" t="s">
        <v>637</v>
      </c>
    </row>
    <row r="15" spans="1:13" ht="15" customHeight="1" x14ac:dyDescent="0.2">
      <c r="A15" s="2" t="s">
        <v>27</v>
      </c>
      <c r="B15" s="2" t="s">
        <v>17</v>
      </c>
      <c r="C15" s="2" t="s">
        <v>203</v>
      </c>
      <c r="D15" s="2" t="s">
        <v>33</v>
      </c>
      <c r="G15" s="2">
        <v>3.2553095518838444</v>
      </c>
    </row>
    <row r="16" spans="1:13" ht="15" customHeight="1" x14ac:dyDescent="0.2">
      <c r="A16" s="2" t="s">
        <v>26</v>
      </c>
      <c r="B16" s="2" t="s">
        <v>17</v>
      </c>
      <c r="C16" s="2" t="s">
        <v>203</v>
      </c>
      <c r="D16" s="2" t="s">
        <v>32</v>
      </c>
      <c r="F16" s="1" t="s">
        <v>472</v>
      </c>
      <c r="G16" s="2">
        <v>0.22553095518838442</v>
      </c>
    </row>
    <row r="17" spans="1:9" ht="15" customHeight="1" x14ac:dyDescent="0.2">
      <c r="A17" s="2" t="s">
        <v>49</v>
      </c>
      <c r="B17" s="2" t="s">
        <v>50</v>
      </c>
      <c r="C17" s="2" t="s">
        <v>203</v>
      </c>
      <c r="D17" s="2" t="s">
        <v>520</v>
      </c>
      <c r="G17" s="1" t="s">
        <v>508</v>
      </c>
      <c r="H17" s="2" t="s">
        <v>514</v>
      </c>
    </row>
    <row r="18" spans="1:9" ht="15" customHeight="1" x14ac:dyDescent="0.2">
      <c r="A18" s="2" t="s">
        <v>509</v>
      </c>
      <c r="B18" s="2" t="s">
        <v>266</v>
      </c>
      <c r="C18" s="2" t="s">
        <v>203</v>
      </c>
      <c r="D18" s="2" t="s">
        <v>507</v>
      </c>
    </row>
    <row r="19" spans="1:9" ht="15" customHeight="1" x14ac:dyDescent="0.2">
      <c r="A19" s="2" t="s">
        <v>506</v>
      </c>
      <c r="B19" s="2" t="s">
        <v>17</v>
      </c>
      <c r="C19" s="2" t="s">
        <v>203</v>
      </c>
      <c r="D19" s="2" t="s">
        <v>635</v>
      </c>
    </row>
    <row r="20" spans="1:9" ht="15" customHeight="1" x14ac:dyDescent="0.2">
      <c r="A20" s="2" t="s">
        <v>45</v>
      </c>
      <c r="B20" s="2" t="s">
        <v>48</v>
      </c>
      <c r="C20" s="2" t="s">
        <v>203</v>
      </c>
      <c r="D20" s="2" t="s">
        <v>60</v>
      </c>
    </row>
    <row r="21" spans="1:9" ht="15" customHeight="1" x14ac:dyDescent="0.2">
      <c r="A21" s="2" t="s">
        <v>518</v>
      </c>
      <c r="B21" s="2" t="s">
        <v>17</v>
      </c>
      <c r="C21" s="2" t="s">
        <v>203</v>
      </c>
      <c r="D21" s="2" t="s">
        <v>31</v>
      </c>
    </row>
    <row r="22" spans="1:9" ht="15" customHeight="1" x14ac:dyDescent="0.2">
      <c r="A22" s="2" t="s">
        <v>516</v>
      </c>
      <c r="B22" s="2" t="s">
        <v>17</v>
      </c>
      <c r="C22" s="2" t="s">
        <v>203</v>
      </c>
      <c r="D22" s="2" t="s">
        <v>517</v>
      </c>
    </row>
    <row r="23" spans="1:9" ht="15" customHeight="1" x14ac:dyDescent="0.2">
      <c r="A23" s="2" t="s">
        <v>46</v>
      </c>
      <c r="B23" s="2" t="s">
        <v>48</v>
      </c>
      <c r="C23" s="2" t="s">
        <v>203</v>
      </c>
      <c r="D23" s="2" t="s">
        <v>284</v>
      </c>
      <c r="F23" s="2" t="s">
        <v>284</v>
      </c>
      <c r="G23" s="2"/>
      <c r="H23" s="2"/>
      <c r="I23" s="2"/>
    </row>
    <row r="24" spans="1:9" ht="15" customHeight="1" x14ac:dyDescent="0.2">
      <c r="A24" s="2" t="s">
        <v>229</v>
      </c>
      <c r="B24" s="2" t="s">
        <v>48</v>
      </c>
      <c r="C24" s="2" t="s">
        <v>203</v>
      </c>
      <c r="D24" s="2" t="s">
        <v>47</v>
      </c>
      <c r="F24" s="2"/>
    </row>
    <row r="25" spans="1:9" ht="15" customHeight="1" x14ac:dyDescent="0.2">
      <c r="A25" s="2" t="s">
        <v>265</v>
      </c>
      <c r="B25" s="2" t="s">
        <v>266</v>
      </c>
      <c r="C25" s="2" t="s">
        <v>203</v>
      </c>
      <c r="D25" s="2" t="s">
        <v>657</v>
      </c>
      <c r="G25" s="2" t="s">
        <v>657</v>
      </c>
    </row>
    <row r="26" spans="1:9" ht="15" customHeight="1" x14ac:dyDescent="0.2">
      <c r="A26" s="2" t="s">
        <v>51</v>
      </c>
      <c r="B26" s="2" t="s">
        <v>48</v>
      </c>
      <c r="C26" s="2" t="s">
        <v>203</v>
      </c>
      <c r="D26" s="2" t="s">
        <v>519</v>
      </c>
      <c r="G26" s="2" t="s">
        <v>499</v>
      </c>
      <c r="H26" s="2" t="s">
        <v>513</v>
      </c>
    </row>
    <row r="27" spans="1:9" ht="15" customHeight="1" x14ac:dyDescent="0.2">
      <c r="A27" s="2" t="s">
        <v>498</v>
      </c>
      <c r="B27" s="2" t="s">
        <v>266</v>
      </c>
      <c r="C27" s="2" t="s">
        <v>203</v>
      </c>
      <c r="D27" s="2" t="s">
        <v>502</v>
      </c>
    </row>
    <row r="28" spans="1:9" ht="15" customHeight="1" x14ac:dyDescent="0.2">
      <c r="A28" s="2" t="s">
        <v>500</v>
      </c>
      <c r="B28" s="2" t="s">
        <v>17</v>
      </c>
      <c r="C28" s="2" t="s">
        <v>203</v>
      </c>
      <c r="D28" s="2" t="s">
        <v>29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14E6-EE12-994E-B15F-7DD170CA5120}">
  <sheetPr codeName="Sheet18"/>
  <dimension ref="A1:K28"/>
  <sheetViews>
    <sheetView zoomScale="177" workbookViewId="0">
      <selection activeCell="E23" sqref="E23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1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1" ht="15" customHeight="1" x14ac:dyDescent="0.2">
      <c r="A2" s="2" t="s">
        <v>18</v>
      </c>
      <c r="B2" s="2" t="s">
        <v>17</v>
      </c>
      <c r="C2" s="2" t="s">
        <v>494</v>
      </c>
      <c r="D2" s="2" t="s">
        <v>28</v>
      </c>
    </row>
    <row r="3" spans="1:11" ht="15" customHeight="1" x14ac:dyDescent="0.2">
      <c r="A3" s="2" t="s">
        <v>53</v>
      </c>
      <c r="B3" s="2" t="s">
        <v>17</v>
      </c>
      <c r="C3" s="2" t="s">
        <v>494</v>
      </c>
      <c r="D3" s="2" t="s">
        <v>29</v>
      </c>
      <c r="E3" s="2">
        <v>1.2507288629737607</v>
      </c>
      <c r="F3" s="2" t="s">
        <v>453</v>
      </c>
      <c r="G3" s="1">
        <v>1.6927842565597659</v>
      </c>
      <c r="H3" s="1" t="s">
        <v>444</v>
      </c>
    </row>
    <row r="4" spans="1:11" ht="15" customHeight="1" x14ac:dyDescent="0.2">
      <c r="A4" s="2" t="s">
        <v>19</v>
      </c>
      <c r="B4" s="2" t="s">
        <v>17</v>
      </c>
      <c r="C4" s="2" t="s">
        <v>494</v>
      </c>
      <c r="D4" s="2" t="s">
        <v>29</v>
      </c>
      <c r="E4" s="2">
        <v>1.6676384839650142</v>
      </c>
      <c r="F4" s="2" t="s">
        <v>447</v>
      </c>
      <c r="G4" s="1">
        <v>3.0470116618075784</v>
      </c>
      <c r="H4" s="1" t="s">
        <v>445</v>
      </c>
      <c r="I4" s="1" t="s">
        <v>194</v>
      </c>
    </row>
    <row r="5" spans="1:11" ht="15" customHeight="1" x14ac:dyDescent="0.2">
      <c r="A5" s="2" t="s">
        <v>20</v>
      </c>
      <c r="B5" s="2" t="s">
        <v>17</v>
      </c>
      <c r="C5" s="2" t="s">
        <v>494</v>
      </c>
      <c r="D5" s="2" t="s">
        <v>29</v>
      </c>
      <c r="E5" s="2">
        <v>1.2345679012345678</v>
      </c>
      <c r="F5" s="2">
        <v>5.0000000000000001E-3</v>
      </c>
      <c r="G5" s="2">
        <v>1.2345679012345678</v>
      </c>
      <c r="H5" s="2" t="s">
        <v>43</v>
      </c>
      <c r="I5" s="2" t="s">
        <v>190</v>
      </c>
    </row>
    <row r="6" spans="1:11" ht="15" customHeight="1" x14ac:dyDescent="0.2">
      <c r="A6" s="2" t="s">
        <v>21</v>
      </c>
      <c r="B6" s="2" t="s">
        <v>17</v>
      </c>
      <c r="C6" s="2" t="s">
        <v>494</v>
      </c>
      <c r="D6" s="2" t="s">
        <v>43</v>
      </c>
      <c r="E6" s="2">
        <v>5.8641975308641962E-6</v>
      </c>
      <c r="F6" s="2">
        <v>0.9</v>
      </c>
      <c r="G6" s="2">
        <v>9.3827160493827139E-5</v>
      </c>
      <c r="H6" s="2">
        <v>0.9</v>
      </c>
      <c r="I6" s="2" t="s">
        <v>191</v>
      </c>
      <c r="J6" s="1" t="str">
        <f>"mean sd="&amp;(I6/(I5-1))^0.5</f>
        <v>mean sd=0.1</v>
      </c>
      <c r="K6" s="1" t="str">
        <f>"std of sd="&amp;(I6^2/((I5-1)^2*(I5-2)))^0.5</f>
        <v>std of sd=0.100000000000001</v>
      </c>
    </row>
    <row r="7" spans="1:11" ht="15" customHeight="1" x14ac:dyDescent="0.2">
      <c r="A7" s="2" t="s">
        <v>22</v>
      </c>
      <c r="B7" s="2" t="s">
        <v>17</v>
      </c>
      <c r="C7" s="2" t="s">
        <v>494</v>
      </c>
      <c r="D7" s="2" t="s">
        <v>29</v>
      </c>
      <c r="E7" s="2">
        <v>1.2345679012345678</v>
      </c>
      <c r="F7" s="2">
        <v>0.1</v>
      </c>
      <c r="G7" s="2">
        <v>1.2345679012345678</v>
      </c>
      <c r="H7" s="2">
        <v>0.05</v>
      </c>
      <c r="I7" s="2" t="s">
        <v>190</v>
      </c>
    </row>
    <row r="8" spans="1:11" ht="15" customHeight="1" x14ac:dyDescent="0.2">
      <c r="A8" s="2" t="s">
        <v>23</v>
      </c>
      <c r="B8" s="2" t="s">
        <v>17</v>
      </c>
      <c r="C8" s="2" t="s">
        <v>494</v>
      </c>
      <c r="D8" s="2" t="s">
        <v>29</v>
      </c>
      <c r="E8" s="2">
        <v>93.827160493827151</v>
      </c>
      <c r="F8" s="2">
        <v>0.9</v>
      </c>
      <c r="G8" s="2">
        <v>5.8641975308641969</v>
      </c>
      <c r="H8" s="2">
        <v>0.9</v>
      </c>
      <c r="I8" s="2" t="s">
        <v>191</v>
      </c>
      <c r="J8" s="1" t="str">
        <f>"mean sd="&amp;(I8/(I7-1))^0.5</f>
        <v>mean sd=0.1</v>
      </c>
      <c r="K8" s="1" t="str">
        <f>"std of sd="&amp;(I8^2/((I7-1)^2*(I7-2)))^0.5</f>
        <v>std of sd=0.100000000000001</v>
      </c>
    </row>
    <row r="9" spans="1:11" ht="15" customHeight="1" x14ac:dyDescent="0.2">
      <c r="A9" s="2" t="s">
        <v>234</v>
      </c>
      <c r="B9" s="2" t="s">
        <v>17</v>
      </c>
      <c r="C9" s="2" t="s">
        <v>494</v>
      </c>
      <c r="D9" s="2" t="s">
        <v>195</v>
      </c>
      <c r="E9" s="2">
        <v>1.2345679012345678</v>
      </c>
      <c r="F9" s="2" t="s">
        <v>496</v>
      </c>
      <c r="I9" s="2"/>
    </row>
    <row r="10" spans="1:11" ht="15" customHeight="1" x14ac:dyDescent="0.2">
      <c r="A10" s="2" t="s">
        <v>235</v>
      </c>
      <c r="B10" s="2" t="s">
        <v>196</v>
      </c>
      <c r="C10" s="2" t="s">
        <v>494</v>
      </c>
      <c r="D10" s="2" t="s">
        <v>195</v>
      </c>
      <c r="E10" s="2">
        <v>5.8641975308641962E-6</v>
      </c>
      <c r="F10" s="2"/>
      <c r="I10" s="2"/>
    </row>
    <row r="11" spans="1:11" ht="15" customHeight="1" x14ac:dyDescent="0.2">
      <c r="A11" s="2" t="s">
        <v>237</v>
      </c>
      <c r="B11" s="2" t="s">
        <v>17</v>
      </c>
      <c r="C11" s="2" t="s">
        <v>494</v>
      </c>
      <c r="D11" s="2" t="s">
        <v>195</v>
      </c>
      <c r="F11" s="2"/>
      <c r="I11" s="2"/>
    </row>
    <row r="12" spans="1:11" ht="15" customHeight="1" x14ac:dyDescent="0.2">
      <c r="A12" s="2" t="s">
        <v>236</v>
      </c>
      <c r="B12" s="2" t="s">
        <v>196</v>
      </c>
      <c r="C12" s="2" t="s">
        <v>494</v>
      </c>
      <c r="D12" s="2" t="s">
        <v>195</v>
      </c>
      <c r="F12" s="2"/>
      <c r="I12" s="2"/>
    </row>
    <row r="13" spans="1:11" ht="15" customHeight="1" x14ac:dyDescent="0.2">
      <c r="A13" s="2" t="s">
        <v>24</v>
      </c>
      <c r="B13" s="2" t="s">
        <v>17</v>
      </c>
      <c r="C13" s="2" t="s">
        <v>494</v>
      </c>
      <c r="D13" s="2" t="s">
        <v>31</v>
      </c>
      <c r="E13" s="1"/>
    </row>
    <row r="14" spans="1:11" ht="15" customHeight="1" x14ac:dyDescent="0.2">
      <c r="A14" s="2" t="s">
        <v>25</v>
      </c>
      <c r="B14" s="2" t="s">
        <v>17</v>
      </c>
      <c r="C14" s="2" t="s">
        <v>494</v>
      </c>
      <c r="D14" s="2" t="s">
        <v>252</v>
      </c>
    </row>
    <row r="15" spans="1:11" ht="15" customHeight="1" x14ac:dyDescent="0.2">
      <c r="A15" s="2" t="s">
        <v>27</v>
      </c>
      <c r="B15" s="2" t="s">
        <v>17</v>
      </c>
      <c r="C15" s="2" t="s">
        <v>494</v>
      </c>
      <c r="D15" s="2" t="s">
        <v>33</v>
      </c>
      <c r="E15" s="2">
        <v>3.2553095518838444</v>
      </c>
      <c r="F15" s="1">
        <v>10</v>
      </c>
      <c r="G15" s="2">
        <v>3.2553095518838444</v>
      </c>
      <c r="H15" s="1">
        <f>(4+SQRT(816))/400*4 + 1</f>
        <v>1.3256571371417141</v>
      </c>
      <c r="I15" s="2">
        <v>5.8284271247461898</v>
      </c>
      <c r="J15" s="1">
        <v>10</v>
      </c>
    </row>
    <row r="16" spans="1:11" ht="15" customHeight="1" x14ac:dyDescent="0.2">
      <c r="A16" s="2" t="s">
        <v>26</v>
      </c>
      <c r="B16" s="2" t="s">
        <v>17</v>
      </c>
      <c r="C16" s="2" t="s">
        <v>494</v>
      </c>
      <c r="D16" s="2" t="s">
        <v>32</v>
      </c>
      <c r="E16" s="2">
        <v>0.22553095518838442</v>
      </c>
      <c r="F16" s="1">
        <v>8</v>
      </c>
      <c r="G16" s="2">
        <v>0.22553095518838442</v>
      </c>
      <c r="H16" s="1">
        <f>(4+SQRT(816))/400</f>
        <v>8.1414284285428504E-2</v>
      </c>
      <c r="I16" s="2">
        <v>0.48284271247461902</v>
      </c>
      <c r="J16" s="1">
        <v>5</v>
      </c>
    </row>
    <row r="17" spans="1:8" ht="15" customHeight="1" x14ac:dyDescent="0.2">
      <c r="A17" s="2" t="s">
        <v>45</v>
      </c>
      <c r="B17" s="2" t="s">
        <v>48</v>
      </c>
      <c r="C17" s="2" t="s">
        <v>494</v>
      </c>
      <c r="D17" s="2" t="s">
        <v>60</v>
      </c>
    </row>
    <row r="18" spans="1:8" ht="15" customHeight="1" x14ac:dyDescent="0.2">
      <c r="A18" s="2" t="s">
        <v>518</v>
      </c>
      <c r="B18" s="2" t="s">
        <v>17</v>
      </c>
      <c r="C18" s="2" t="s">
        <v>494</v>
      </c>
      <c r="D18" s="2" t="s">
        <v>31</v>
      </c>
    </row>
    <row r="19" spans="1:8" ht="15" customHeight="1" x14ac:dyDescent="0.2">
      <c r="A19" s="2" t="s">
        <v>516</v>
      </c>
      <c r="B19" s="2" t="s">
        <v>17</v>
      </c>
      <c r="C19" s="2" t="s">
        <v>494</v>
      </c>
      <c r="D19" s="2" t="s">
        <v>517</v>
      </c>
    </row>
    <row r="20" spans="1:8" ht="15" customHeight="1" x14ac:dyDescent="0.2">
      <c r="A20" s="2" t="s">
        <v>49</v>
      </c>
      <c r="B20" s="2" t="s">
        <v>50</v>
      </c>
      <c r="C20" s="2" t="s">
        <v>494</v>
      </c>
      <c r="D20" s="2" t="s">
        <v>520</v>
      </c>
      <c r="G20" s="1" t="s">
        <v>508</v>
      </c>
      <c r="H20" s="2" t="s">
        <v>514</v>
      </c>
    </row>
    <row r="21" spans="1:8" ht="15" customHeight="1" x14ac:dyDescent="0.2">
      <c r="A21" s="2" t="s">
        <v>509</v>
      </c>
      <c r="B21" s="2" t="s">
        <v>266</v>
      </c>
      <c r="C21" s="2" t="s">
        <v>494</v>
      </c>
      <c r="D21" s="2" t="s">
        <v>507</v>
      </c>
    </row>
    <row r="22" spans="1:8" ht="15" customHeight="1" x14ac:dyDescent="0.2">
      <c r="A22" s="2" t="s">
        <v>506</v>
      </c>
      <c r="B22" s="2" t="s">
        <v>17</v>
      </c>
      <c r="C22" s="2" t="s">
        <v>494</v>
      </c>
      <c r="D22" s="2" t="s">
        <v>29</v>
      </c>
    </row>
    <row r="23" spans="1:8" ht="15" customHeight="1" x14ac:dyDescent="0.2">
      <c r="A23" s="2" t="s">
        <v>46</v>
      </c>
      <c r="B23" s="2" t="s">
        <v>48</v>
      </c>
      <c r="C23" s="2" t="s">
        <v>494</v>
      </c>
      <c r="D23" s="2" t="s">
        <v>47</v>
      </c>
      <c r="E23" s="2" t="s">
        <v>284</v>
      </c>
      <c r="F23" s="2" t="s">
        <v>284</v>
      </c>
    </row>
    <row r="24" spans="1:8" ht="15" customHeight="1" x14ac:dyDescent="0.2">
      <c r="A24" s="2" t="s">
        <v>229</v>
      </c>
      <c r="B24" s="2" t="s">
        <v>48</v>
      </c>
      <c r="C24" s="2" t="s">
        <v>494</v>
      </c>
      <c r="D24" s="2" t="s">
        <v>47</v>
      </c>
      <c r="F24" s="2"/>
    </row>
    <row r="25" spans="1:8" ht="15" customHeight="1" x14ac:dyDescent="0.2">
      <c r="A25" s="2" t="s">
        <v>265</v>
      </c>
      <c r="B25" s="2" t="s">
        <v>266</v>
      </c>
      <c r="C25" s="2" t="s">
        <v>494</v>
      </c>
      <c r="D25" s="2" t="s">
        <v>267</v>
      </c>
    </row>
    <row r="26" spans="1:8" ht="15" customHeight="1" x14ac:dyDescent="0.2">
      <c r="A26" s="2" t="s">
        <v>51</v>
      </c>
      <c r="B26" s="2" t="s">
        <v>48</v>
      </c>
      <c r="C26" s="2" t="s">
        <v>494</v>
      </c>
      <c r="D26" s="2" t="s">
        <v>519</v>
      </c>
    </row>
    <row r="27" spans="1:8" ht="15" customHeight="1" x14ac:dyDescent="0.2">
      <c r="A27" s="2" t="s">
        <v>498</v>
      </c>
      <c r="B27" s="2" t="s">
        <v>266</v>
      </c>
      <c r="C27" s="2" t="s">
        <v>494</v>
      </c>
      <c r="D27" s="2" t="s">
        <v>502</v>
      </c>
    </row>
    <row r="28" spans="1:8" ht="15" customHeight="1" x14ac:dyDescent="0.2">
      <c r="A28" s="2" t="s">
        <v>500</v>
      </c>
      <c r="B28" s="2" t="s">
        <v>17</v>
      </c>
      <c r="C28" s="2" t="s">
        <v>494</v>
      </c>
      <c r="D28" s="2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2D6B-6773-7841-BE96-DA7FB4397629}">
  <sheetPr codeName="Sheet14"/>
  <dimension ref="C1:T50"/>
  <sheetViews>
    <sheetView workbookViewId="0">
      <selection activeCell="E8" sqref="E8:F11"/>
    </sheetView>
  </sheetViews>
  <sheetFormatPr baseColWidth="10" defaultRowHeight="16" x14ac:dyDescent="0.2"/>
  <cols>
    <col min="4" max="4" width="33.5" customWidth="1"/>
    <col min="5" max="5" width="13.33203125" customWidth="1"/>
    <col min="6" max="6" width="11.5" bestFit="1" customWidth="1"/>
    <col min="7" max="7" width="15" bestFit="1" customWidth="1"/>
    <col min="8" max="8" width="13" bestFit="1" customWidth="1"/>
  </cols>
  <sheetData>
    <row r="1" spans="3:18" x14ac:dyDescent="0.2">
      <c r="D1" s="29" t="s">
        <v>535</v>
      </c>
      <c r="P1" t="s">
        <v>211</v>
      </c>
    </row>
    <row r="2" spans="3:18" x14ac:dyDescent="0.2">
      <c r="D2" t="s">
        <v>205</v>
      </c>
      <c r="E2" s="34">
        <v>0.02</v>
      </c>
      <c r="M2">
        <v>0.01</v>
      </c>
      <c r="P2" s="11">
        <v>0.01</v>
      </c>
    </row>
    <row r="3" spans="3:18" x14ac:dyDescent="0.2">
      <c r="D3" t="s">
        <v>534</v>
      </c>
      <c r="E3" s="12">
        <v>0.9</v>
      </c>
      <c r="G3" t="s">
        <v>207</v>
      </c>
      <c r="M3">
        <v>0.9</v>
      </c>
      <c r="P3" s="12">
        <v>0.5</v>
      </c>
      <c r="R3" s="20">
        <v>0.1</v>
      </c>
    </row>
    <row r="4" spans="3:18" x14ac:dyDescent="0.2">
      <c r="D4" t="s">
        <v>206</v>
      </c>
      <c r="E4" s="15">
        <f>E8/E9</f>
        <v>13157.894736842107</v>
      </c>
      <c r="F4">
        <f>1/E2^2</f>
        <v>2500</v>
      </c>
      <c r="M4">
        <v>1.2345679012345678</v>
      </c>
      <c r="P4" s="16">
        <f>1/P3^2</f>
        <v>4</v>
      </c>
      <c r="R4" s="12">
        <v>0.95</v>
      </c>
    </row>
    <row r="5" spans="3:18" x14ac:dyDescent="0.2">
      <c r="D5" t="s">
        <v>204</v>
      </c>
      <c r="E5" s="11">
        <v>0.05</v>
      </c>
      <c r="G5" s="14"/>
      <c r="H5" s="22"/>
      <c r="M5">
        <v>2.3456790123456785E-5</v>
      </c>
      <c r="P5" s="17">
        <f>P2^2*(1/P3^2-1)</f>
        <v>3.0000000000000003E-4</v>
      </c>
    </row>
    <row r="6" spans="3:18" x14ac:dyDescent="0.2">
      <c r="D6" t="s">
        <v>545</v>
      </c>
      <c r="E6" s="12">
        <v>0.9</v>
      </c>
      <c r="M6">
        <v>52631.578947368427</v>
      </c>
      <c r="P6" s="15">
        <f>P4/P5</f>
        <v>13333.333333333332</v>
      </c>
    </row>
    <row r="7" spans="3:18" x14ac:dyDescent="0.2">
      <c r="D7" t="s">
        <v>208</v>
      </c>
      <c r="E7" s="13">
        <f>E5^2/E2^2</f>
        <v>6.2500000000000009</v>
      </c>
      <c r="M7">
        <v>0.1</v>
      </c>
      <c r="P7" s="11">
        <v>0.05</v>
      </c>
    </row>
    <row r="8" spans="3:18" x14ac:dyDescent="0.2">
      <c r="C8" s="14"/>
      <c r="D8" t="s">
        <v>20</v>
      </c>
      <c r="E8" s="23">
        <f>1/E3^2</f>
        <v>1.2345679012345678</v>
      </c>
      <c r="F8" s="25">
        <f>(E9/(E8-1))^0.5</f>
        <v>0.02</v>
      </c>
      <c r="G8" t="s">
        <v>538</v>
      </c>
      <c r="M8">
        <v>0.9</v>
      </c>
      <c r="P8" s="12">
        <v>0.99</v>
      </c>
    </row>
    <row r="9" spans="3:18" x14ac:dyDescent="0.2">
      <c r="C9" s="14"/>
      <c r="D9" t="s">
        <v>21</v>
      </c>
      <c r="E9" s="24">
        <f>E2^2*(1/E3^2-1)</f>
        <v>9.3827160493827139E-5</v>
      </c>
      <c r="F9" s="14">
        <f>(E8/E9^2)^0.5/(E8/E9)</f>
        <v>0.9</v>
      </c>
      <c r="M9">
        <v>100.00000000000001</v>
      </c>
      <c r="P9" s="13">
        <f>P7^2/P2^2</f>
        <v>25.000000000000004</v>
      </c>
    </row>
    <row r="10" spans="3:18" x14ac:dyDescent="0.2">
      <c r="D10" t="s">
        <v>22</v>
      </c>
      <c r="E10" s="16">
        <f>1/E6^2</f>
        <v>1.2345679012345678</v>
      </c>
      <c r="F10" s="26">
        <f>((E9/(E8-1))*(E11/(E10-1)))^0.5</f>
        <v>0.05</v>
      </c>
      <c r="G10" t="s">
        <v>539</v>
      </c>
      <c r="M10">
        <v>1.2345679012345678</v>
      </c>
      <c r="P10" s="16">
        <f>1/P8^2</f>
        <v>1.0203040506070808</v>
      </c>
    </row>
    <row r="11" spans="3:18" x14ac:dyDescent="0.2">
      <c r="D11" t="s">
        <v>23</v>
      </c>
      <c r="E11" s="21">
        <f>E7*(1/E6^2-1)</f>
        <v>1.4660493827160492</v>
      </c>
      <c r="F11" s="33">
        <f>E10/E11</f>
        <v>0.8421052631578948</v>
      </c>
      <c r="G11" t="s">
        <v>554</v>
      </c>
      <c r="M11">
        <v>23.456790123456788</v>
      </c>
      <c r="P11" s="18">
        <f>P9*(1/P8^2-1)</f>
        <v>0.50760126517702131</v>
      </c>
    </row>
    <row r="12" spans="3:18" x14ac:dyDescent="0.2">
      <c r="D12" t="s">
        <v>209</v>
      </c>
      <c r="E12">
        <f>E10/E11</f>
        <v>0.8421052631578948</v>
      </c>
      <c r="F12" s="31">
        <f>(E10/E11^2)^0.5</f>
        <v>0.75789473684210529</v>
      </c>
      <c r="G12" s="14" t="s">
        <v>541</v>
      </c>
      <c r="H12" s="14"/>
      <c r="I12" s="14"/>
      <c r="P12">
        <f>P10/P11</f>
        <v>2.010050251256287</v>
      </c>
    </row>
    <row r="13" spans="3:18" x14ac:dyDescent="0.2">
      <c r="D13" t="s">
        <v>210</v>
      </c>
      <c r="E13">
        <f>(E10/E11^2)^0.5</f>
        <v>0.75789473684210529</v>
      </c>
      <c r="P13">
        <f>(P10/P11^2)^0.5</f>
        <v>1.9899497487437243</v>
      </c>
    </row>
    <row r="15" spans="3:18" x14ac:dyDescent="0.2">
      <c r="D15" s="29" t="s">
        <v>536</v>
      </c>
    </row>
    <row r="16" spans="3:18" x14ac:dyDescent="0.2">
      <c r="D16" t="s">
        <v>205</v>
      </c>
      <c r="E16" s="20">
        <v>0.01</v>
      </c>
    </row>
    <row r="17" spans="3:20" x14ac:dyDescent="0.2">
      <c r="D17" t="s">
        <v>544</v>
      </c>
      <c r="E17" s="12">
        <v>0.9</v>
      </c>
      <c r="G17" t="s">
        <v>207</v>
      </c>
      <c r="T17">
        <v>7</v>
      </c>
    </row>
    <row r="18" spans="3:20" x14ac:dyDescent="0.2">
      <c r="D18" t="s">
        <v>206</v>
      </c>
      <c r="E18" s="15">
        <f>E22/E23</f>
        <v>19998.765584495741</v>
      </c>
      <c r="F18">
        <f>1/E16^2</f>
        <v>10000</v>
      </c>
      <c r="R18">
        <f>((6/14)*(8/14))^0.5</f>
        <v>0.49487165930539345</v>
      </c>
      <c r="T18">
        <v>9</v>
      </c>
    </row>
    <row r="19" spans="3:20" x14ac:dyDescent="0.2">
      <c r="D19" t="s">
        <v>204</v>
      </c>
      <c r="E19" s="11">
        <v>0.05</v>
      </c>
      <c r="G19" s="14"/>
      <c r="K19">
        <v>14</v>
      </c>
      <c r="O19" t="s">
        <v>527</v>
      </c>
      <c r="P19" s="19">
        <v>2.0111111111111111</v>
      </c>
    </row>
    <row r="20" spans="3:20" x14ac:dyDescent="0.2">
      <c r="D20" t="s">
        <v>546</v>
      </c>
      <c r="E20" s="12">
        <v>0.9</v>
      </c>
      <c r="K20">
        <v>7</v>
      </c>
      <c r="O20" t="s">
        <v>528</v>
      </c>
      <c r="P20" s="19">
        <v>1.0111111111111112E-2</v>
      </c>
    </row>
    <row r="21" spans="3:20" x14ac:dyDescent="0.2">
      <c r="D21" t="s">
        <v>208</v>
      </c>
      <c r="E21" s="13">
        <f>E19^2/E16^2</f>
        <v>25.000000000000004</v>
      </c>
      <c r="K21">
        <v>0.25</v>
      </c>
      <c r="O21" t="s">
        <v>526</v>
      </c>
      <c r="P21">
        <v>100</v>
      </c>
    </row>
    <row r="22" spans="3:20" x14ac:dyDescent="0.2">
      <c r="C22" s="14"/>
      <c r="D22" t="s">
        <v>20</v>
      </c>
      <c r="E22" s="23">
        <f>E16^2/E17^2+2</f>
        <v>2.0001234567901234</v>
      </c>
      <c r="F22" s="25">
        <f>(E23/(E22-1))^0.5</f>
        <v>0.01</v>
      </c>
      <c r="G22" t="s">
        <v>540</v>
      </c>
      <c r="K22">
        <v>0.5</v>
      </c>
      <c r="O22" t="s">
        <v>524</v>
      </c>
      <c r="P22">
        <f>P19+P21/2</f>
        <v>52.011111111111113</v>
      </c>
    </row>
    <row r="23" spans="3:20" x14ac:dyDescent="0.2">
      <c r="C23" s="14"/>
      <c r="D23" t="s">
        <v>21</v>
      </c>
      <c r="E23" s="24">
        <f>E16^2*(E22-1)</f>
        <v>1.0001234567901234E-4</v>
      </c>
      <c r="F23" s="30">
        <f>(E23^2/(E22-1)^2/(E22-2))^0.5</f>
        <v>9.0000000000028928E-3</v>
      </c>
      <c r="G23" t="s">
        <v>537</v>
      </c>
      <c r="K23">
        <v>0.5</v>
      </c>
      <c r="O23" t="s">
        <v>525</v>
      </c>
      <c r="P23">
        <f>P20</f>
        <v>1.0111111111111112E-2</v>
      </c>
    </row>
    <row r="24" spans="3:20" x14ac:dyDescent="0.2">
      <c r="C24" s="22"/>
      <c r="D24" t="s">
        <v>22</v>
      </c>
      <c r="E24" s="32">
        <f>1/E20^2+2</f>
        <v>3.2345679012345681</v>
      </c>
      <c r="F24" s="26">
        <f>((E23/(E22-1))*(E25/(E24-1)))^0.5</f>
        <v>0.05</v>
      </c>
      <c r="G24" t="s">
        <v>547</v>
      </c>
      <c r="K24">
        <v>3</v>
      </c>
      <c r="O24" t="s">
        <v>529</v>
      </c>
      <c r="P24">
        <f>(P23/(P22-1))^0.5</f>
        <v>1.4078845718116231E-2</v>
      </c>
    </row>
    <row r="25" spans="3:20" x14ac:dyDescent="0.2">
      <c r="C25" s="22"/>
      <c r="D25" t="s">
        <v>23</v>
      </c>
      <c r="E25" s="21">
        <f>E21*(E24-1)</f>
        <v>55.86419753086421</v>
      </c>
      <c r="F25">
        <f>E25/(E24-1)</f>
        <v>25.000000000000004</v>
      </c>
      <c r="G25" t="s">
        <v>542</v>
      </c>
      <c r="K25">
        <v>1.5</v>
      </c>
      <c r="O25" t="s">
        <v>531</v>
      </c>
      <c r="P25">
        <f>0.5^2</f>
        <v>0.25</v>
      </c>
    </row>
    <row r="26" spans="3:20" x14ac:dyDescent="0.2">
      <c r="D26" t="s">
        <v>209</v>
      </c>
      <c r="E26">
        <f>E24/E25</f>
        <v>5.7900552486187834E-2</v>
      </c>
      <c r="F26" s="14">
        <f>(E25^2/((E24-1)^2*(E24-2)))^0.5</f>
        <v>22.500000000000004</v>
      </c>
      <c r="G26" s="14" t="s">
        <v>543</v>
      </c>
      <c r="K26">
        <v>1.5</v>
      </c>
      <c r="O26" t="s">
        <v>532</v>
      </c>
      <c r="P26">
        <f>P22</f>
        <v>52.011111111111113</v>
      </c>
    </row>
    <row r="27" spans="3:20" x14ac:dyDescent="0.2">
      <c r="D27" t="s">
        <v>210</v>
      </c>
      <c r="E27">
        <f>(E24/E25^2)^0.5</f>
        <v>3.2193972708540942E-2</v>
      </c>
      <c r="K27">
        <v>0.5</v>
      </c>
      <c r="O27" t="s">
        <v>533</v>
      </c>
      <c r="P27">
        <f>P25*P21/2+P20</f>
        <v>12.510111111111112</v>
      </c>
    </row>
    <row r="28" spans="3:20" x14ac:dyDescent="0.2">
      <c r="O28" t="s">
        <v>530</v>
      </c>
      <c r="P28">
        <f>(P27/(P26-1))^0.5</f>
        <v>0.49522001825238399</v>
      </c>
    </row>
    <row r="30" spans="3:20" x14ac:dyDescent="0.2">
      <c r="D30" t="s">
        <v>240</v>
      </c>
    </row>
    <row r="31" spans="3:20" x14ac:dyDescent="0.2">
      <c r="D31" t="s">
        <v>212</v>
      </c>
      <c r="E31" s="19">
        <v>14</v>
      </c>
    </row>
    <row r="32" spans="3:20" x14ac:dyDescent="0.2">
      <c r="D32" t="s">
        <v>644</v>
      </c>
      <c r="E32" s="28">
        <v>5</v>
      </c>
      <c r="J32" t="s">
        <v>646</v>
      </c>
      <c r="K32" t="s">
        <v>647</v>
      </c>
    </row>
    <row r="33" spans="3:7" x14ac:dyDescent="0.2">
      <c r="D33" t="s">
        <v>213</v>
      </c>
      <c r="E33" s="4">
        <v>1.5</v>
      </c>
      <c r="F33" t="s">
        <v>456</v>
      </c>
    </row>
    <row r="34" spans="3:7" x14ac:dyDescent="0.2">
      <c r="D34" t="s">
        <v>214</v>
      </c>
      <c r="E34" s="4">
        <v>1.5</v>
      </c>
      <c r="F34" t="s">
        <v>456</v>
      </c>
    </row>
    <row r="35" spans="3:7" x14ac:dyDescent="0.2">
      <c r="D35" t="s">
        <v>639</v>
      </c>
      <c r="E35">
        <v>0.5</v>
      </c>
    </row>
    <row r="36" spans="3:7" x14ac:dyDescent="0.2">
      <c r="D36" t="s">
        <v>640</v>
      </c>
      <c r="E36">
        <f>_xlfn.BETA.DIST(E35/E31,E33,E34,TRUE)</f>
        <v>1.1334519744850764E-2</v>
      </c>
      <c r="F36" s="28">
        <v>0.05</v>
      </c>
      <c r="G36" t="s">
        <v>642</v>
      </c>
    </row>
    <row r="37" spans="3:7" x14ac:dyDescent="0.2">
      <c r="D37" t="s">
        <v>641</v>
      </c>
      <c r="E37">
        <f>_xlfn.BETA.DIST(E35/2,E33,E34,TRUE)</f>
        <v>0.19550110947788535</v>
      </c>
      <c r="F37" s="28"/>
    </row>
    <row r="38" spans="3:7" x14ac:dyDescent="0.2">
      <c r="D38" t="s">
        <v>454</v>
      </c>
      <c r="E38">
        <f>E33/(E33+E34)</f>
        <v>0.5</v>
      </c>
      <c r="F38">
        <f>E32/E31</f>
        <v>0.35714285714285715</v>
      </c>
    </row>
    <row r="39" spans="3:7" x14ac:dyDescent="0.2">
      <c r="D39" t="s">
        <v>645</v>
      </c>
      <c r="E39">
        <f>E33*E34/((E33+E34)^2*(E33+E34+1))</f>
        <v>6.25E-2</v>
      </c>
      <c r="F39">
        <f>E39^0.5</f>
        <v>0.25</v>
      </c>
    </row>
    <row r="40" spans="3:7" x14ac:dyDescent="0.2">
      <c r="D40" t="s">
        <v>455</v>
      </c>
      <c r="E40">
        <f>LN((E36-F36)^2+(E38-F38)^2)</f>
        <v>-3.8211233272084812</v>
      </c>
      <c r="G40" t="s">
        <v>643</v>
      </c>
    </row>
    <row r="44" spans="3:7" x14ac:dyDescent="0.2">
      <c r="C44" t="s">
        <v>654</v>
      </c>
    </row>
    <row r="45" spans="3:7" x14ac:dyDescent="0.2">
      <c r="D45" t="s">
        <v>652</v>
      </c>
      <c r="E45" s="28">
        <f>E32/E31</f>
        <v>0.35714285714285715</v>
      </c>
    </row>
    <row r="46" spans="3:7" x14ac:dyDescent="0.2">
      <c r="D46" t="s">
        <v>653</v>
      </c>
      <c r="E46" s="28">
        <f>E39</f>
        <v>6.25E-2</v>
      </c>
    </row>
    <row r="47" spans="3:7" x14ac:dyDescent="0.2">
      <c r="D47" t="s">
        <v>213</v>
      </c>
      <c r="E47" s="4">
        <f>(E45*(1-E45)/E46-1)*E45</f>
        <v>0.95481049562682208</v>
      </c>
    </row>
    <row r="48" spans="3:7" x14ac:dyDescent="0.2">
      <c r="D48" t="s">
        <v>214</v>
      </c>
      <c r="E48" s="4">
        <f>(E45*(1-E45)/E46-1)*(1-E45)</f>
        <v>1.7186588921282795</v>
      </c>
    </row>
    <row r="49" spans="4:8" x14ac:dyDescent="0.2">
      <c r="D49" t="s">
        <v>648</v>
      </c>
      <c r="E49">
        <f>E47/(E47+E48)*E31</f>
        <v>5</v>
      </c>
    </row>
    <row r="50" spans="4:8" x14ac:dyDescent="0.2">
      <c r="D50" t="s">
        <v>649</v>
      </c>
      <c r="E50">
        <f>E47*E48/((E47+E48)^2*(E47+E48+1))</f>
        <v>6.2500000000000014E-2</v>
      </c>
      <c r="F50">
        <f>E50^0.5</f>
        <v>0.25</v>
      </c>
      <c r="G50" t="s">
        <v>650</v>
      </c>
      <c r="H50" t="s">
        <v>651</v>
      </c>
    </row>
  </sheetData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C556-32C7-354E-BA61-3EFF2A5678E5}">
  <sheetPr codeName="Sheet4"/>
  <dimension ref="A1:K24"/>
  <sheetViews>
    <sheetView zoomScale="108" workbookViewId="0">
      <selection activeCell="E14" sqref="E14"/>
    </sheetView>
  </sheetViews>
  <sheetFormatPr baseColWidth="10" defaultColWidth="8.83203125" defaultRowHeight="15" customHeight="1" x14ac:dyDescent="0.2"/>
  <cols>
    <col min="1" max="1" width="33.6640625" style="2" customWidth="1"/>
    <col min="2" max="3" width="13" style="2" customWidth="1"/>
    <col min="4" max="4" width="97.33203125" style="2" customWidth="1"/>
    <col min="5" max="5" width="8.83203125" style="2"/>
    <col min="6" max="16384" width="8.83203125" style="1"/>
  </cols>
  <sheetData>
    <row r="1" spans="1:11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1" ht="15" customHeight="1" x14ac:dyDescent="0.2">
      <c r="A2" s="2" t="s">
        <v>216</v>
      </c>
      <c r="B2" s="2" t="s">
        <v>36</v>
      </c>
      <c r="D2" s="2" t="s">
        <v>217</v>
      </c>
    </row>
    <row r="3" spans="1:11" ht="15" customHeight="1" x14ac:dyDescent="0.2">
      <c r="A3" s="2" t="s">
        <v>154</v>
      </c>
      <c r="B3" s="2" t="s">
        <v>37</v>
      </c>
      <c r="D3" s="2" t="s">
        <v>576</v>
      </c>
      <c r="E3" s="2" t="s">
        <v>672</v>
      </c>
      <c r="H3" s="1" t="s">
        <v>131</v>
      </c>
    </row>
    <row r="4" spans="1:11" ht="15" customHeight="1" x14ac:dyDescent="0.2">
      <c r="A4" s="2" t="s">
        <v>155</v>
      </c>
      <c r="B4" s="2" t="s">
        <v>37</v>
      </c>
      <c r="D4" s="2" t="s">
        <v>39</v>
      </c>
      <c r="E4" s="2" t="s">
        <v>597</v>
      </c>
      <c r="H4" s="2" t="s">
        <v>125</v>
      </c>
    </row>
    <row r="5" spans="1:11" ht="15" customHeight="1" x14ac:dyDescent="0.2">
      <c r="A5" s="2" t="s">
        <v>156</v>
      </c>
      <c r="B5" s="2" t="s">
        <v>37</v>
      </c>
      <c r="D5" s="2" t="s">
        <v>40</v>
      </c>
      <c r="H5" s="2"/>
    </row>
    <row r="6" spans="1:11" ht="15" customHeight="1" x14ac:dyDescent="0.2">
      <c r="A6" s="2" t="s">
        <v>223</v>
      </c>
      <c r="B6" s="2" t="s">
        <v>37</v>
      </c>
      <c r="D6" s="2" t="s">
        <v>40</v>
      </c>
      <c r="H6" s="2"/>
    </row>
    <row r="7" spans="1:11" ht="15" customHeight="1" x14ac:dyDescent="0.2">
      <c r="A7" s="2" t="s">
        <v>157</v>
      </c>
      <c r="B7" s="2" t="s">
        <v>17</v>
      </c>
      <c r="D7" s="2" t="s">
        <v>42</v>
      </c>
      <c r="H7" s="2"/>
    </row>
    <row r="8" spans="1:11" ht="15" customHeight="1" x14ac:dyDescent="0.2">
      <c r="A8" s="2" t="s">
        <v>226</v>
      </c>
      <c r="B8" s="2" t="s">
        <v>17</v>
      </c>
      <c r="D8" s="2" t="s">
        <v>29</v>
      </c>
      <c r="H8" s="2"/>
    </row>
    <row r="9" spans="1:11" ht="15" customHeight="1" x14ac:dyDescent="0.2">
      <c r="A9" s="2" t="s">
        <v>227</v>
      </c>
      <c r="B9" s="2" t="s">
        <v>17</v>
      </c>
      <c r="D9" s="2" t="s">
        <v>30</v>
      </c>
      <c r="H9" s="2"/>
    </row>
    <row r="10" spans="1:11" ht="15" customHeight="1" x14ac:dyDescent="0.2">
      <c r="A10" s="2" t="s">
        <v>228</v>
      </c>
      <c r="B10" s="2" t="s">
        <v>17</v>
      </c>
      <c r="D10" s="2" t="s">
        <v>587</v>
      </c>
      <c r="E10" s="2" t="s">
        <v>587</v>
      </c>
      <c r="H10" s="2"/>
    </row>
    <row r="11" spans="1:11" ht="15" customHeight="1" x14ac:dyDescent="0.2">
      <c r="A11" s="2" t="s">
        <v>158</v>
      </c>
      <c r="B11" s="2" t="s">
        <v>17</v>
      </c>
      <c r="D11" s="2" t="s">
        <v>132</v>
      </c>
      <c r="E11" s="2" t="s">
        <v>586</v>
      </c>
      <c r="H11" s="2" t="s">
        <v>130</v>
      </c>
      <c r="K11" s="2"/>
    </row>
    <row r="12" spans="1:11" ht="15" customHeight="1" x14ac:dyDescent="0.2">
      <c r="A12" s="2" t="s">
        <v>159</v>
      </c>
      <c r="B12" s="2" t="s">
        <v>17</v>
      </c>
      <c r="D12" s="2" t="s">
        <v>38</v>
      </c>
      <c r="H12" s="2"/>
    </row>
    <row r="13" spans="1:11" ht="15" customHeight="1" x14ac:dyDescent="0.2">
      <c r="A13" s="2" t="s">
        <v>160</v>
      </c>
      <c r="B13" s="2" t="s">
        <v>17</v>
      </c>
      <c r="D13" s="2" t="s">
        <v>586</v>
      </c>
      <c r="E13" s="2" t="s">
        <v>586</v>
      </c>
      <c r="H13" s="2" t="s">
        <v>130</v>
      </c>
    </row>
    <row r="14" spans="1:11" ht="15" customHeight="1" x14ac:dyDescent="0.2">
      <c r="A14" s="2" t="s">
        <v>161</v>
      </c>
      <c r="B14" s="2" t="s">
        <v>17</v>
      </c>
      <c r="D14" s="2" t="s">
        <v>588</v>
      </c>
      <c r="E14" s="2" t="s">
        <v>264</v>
      </c>
    </row>
    <row r="15" spans="1:11" ht="15" customHeight="1" x14ac:dyDescent="0.2">
      <c r="A15" s="2" t="s">
        <v>162</v>
      </c>
      <c r="B15" s="2" t="s">
        <v>17</v>
      </c>
      <c r="D15" s="2" t="s">
        <v>120</v>
      </c>
      <c r="F15" s="1" t="s">
        <v>120</v>
      </c>
      <c r="G15" s="1" t="s">
        <v>121</v>
      </c>
    </row>
    <row r="16" spans="1:11" ht="15" customHeight="1" x14ac:dyDescent="0.2">
      <c r="A16" s="2" t="s">
        <v>163</v>
      </c>
      <c r="B16" s="2" t="s">
        <v>17</v>
      </c>
      <c r="D16" s="2" t="s">
        <v>122</v>
      </c>
      <c r="G16" s="1" t="s">
        <v>121</v>
      </c>
    </row>
    <row r="17" spans="1:7" ht="15" customHeight="1" x14ac:dyDescent="0.2">
      <c r="A17" s="2" t="s">
        <v>164</v>
      </c>
      <c r="B17" s="2" t="s">
        <v>17</v>
      </c>
      <c r="D17" s="2" t="s">
        <v>123</v>
      </c>
      <c r="G17" s="1" t="s">
        <v>124</v>
      </c>
    </row>
    <row r="18" spans="1:7" ht="15" customHeight="1" x14ac:dyDescent="0.2">
      <c r="A18" s="2" t="s">
        <v>165</v>
      </c>
      <c r="B18" s="2" t="s">
        <v>56</v>
      </c>
      <c r="D18" s="2" t="s">
        <v>57</v>
      </c>
      <c r="E18" s="2" t="s">
        <v>575</v>
      </c>
      <c r="F18" s="2" t="s">
        <v>218</v>
      </c>
    </row>
    <row r="19" spans="1:7" ht="15" customHeight="1" x14ac:dyDescent="0.2">
      <c r="A19" s="2" t="s">
        <v>166</v>
      </c>
      <c r="B19" s="2" t="s">
        <v>37</v>
      </c>
      <c r="D19" s="2" t="s">
        <v>92</v>
      </c>
    </row>
    <row r="20" spans="1:7" ht="15" customHeight="1" x14ac:dyDescent="0.2">
      <c r="A20" s="2" t="s">
        <v>167</v>
      </c>
      <c r="B20" s="2" t="s">
        <v>37</v>
      </c>
      <c r="D20" s="2" t="s">
        <v>92</v>
      </c>
    </row>
    <row r="21" spans="1:7" ht="15" customHeight="1" x14ac:dyDescent="0.2">
      <c r="A21" s="2" t="s">
        <v>168</v>
      </c>
      <c r="B21" s="2" t="s">
        <v>37</v>
      </c>
      <c r="D21" s="2" t="s">
        <v>41</v>
      </c>
      <c r="E21" s="2" t="s">
        <v>41</v>
      </c>
    </row>
    <row r="22" spans="1:7" ht="15" customHeight="1" x14ac:dyDescent="0.2">
      <c r="A22" s="2" t="s">
        <v>225</v>
      </c>
      <c r="B22" s="2" t="s">
        <v>36</v>
      </c>
      <c r="D22" s="2" t="s">
        <v>230</v>
      </c>
    </row>
    <row r="23" spans="1:7" ht="15" customHeight="1" x14ac:dyDescent="0.2">
      <c r="A23" s="2" t="s">
        <v>247</v>
      </c>
      <c r="B23" s="2" t="s">
        <v>36</v>
      </c>
      <c r="D23" s="2" t="s">
        <v>246</v>
      </c>
      <c r="E23" s="2" t="s">
        <v>246</v>
      </c>
      <c r="G23" s="1" t="s">
        <v>585</v>
      </c>
    </row>
    <row r="24" spans="1:7" ht="15" customHeight="1" x14ac:dyDescent="0.2">
      <c r="A24" s="2" t="s">
        <v>248</v>
      </c>
      <c r="B24" s="2" t="s">
        <v>37</v>
      </c>
      <c r="D24" s="10">
        <f>MIN((IF(E19&lt;&gt;"",E19,D19)+IF(E20&lt;&gt;"",E20,D20))*10,500000)</f>
        <v>200000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D6626-DC8E-B946-895F-FB7801FB3BA7}">
  <sheetPr codeName="Sheet15"/>
  <dimension ref="A1:K28"/>
  <sheetViews>
    <sheetView zoomScale="178" workbookViewId="0">
      <selection activeCell="D19" sqref="D19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1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1" ht="15" customHeight="1" x14ac:dyDescent="0.2">
      <c r="A2" s="2" t="s">
        <v>18</v>
      </c>
      <c r="B2" s="2" t="s">
        <v>17</v>
      </c>
      <c r="C2" s="2" t="s">
        <v>233</v>
      </c>
      <c r="D2" s="2" t="s">
        <v>28</v>
      </c>
    </row>
    <row r="3" spans="1:11" ht="15" customHeight="1" x14ac:dyDescent="0.2">
      <c r="A3" s="2" t="s">
        <v>53</v>
      </c>
      <c r="B3" s="2" t="s">
        <v>17</v>
      </c>
      <c r="C3" s="2" t="s">
        <v>233</v>
      </c>
      <c r="D3" s="2" t="s">
        <v>29</v>
      </c>
      <c r="E3" s="2" t="s">
        <v>452</v>
      </c>
    </row>
    <row r="4" spans="1:11" ht="15" customHeight="1" x14ac:dyDescent="0.2">
      <c r="A4" s="2" t="s">
        <v>19</v>
      </c>
      <c r="B4" s="2" t="s">
        <v>17</v>
      </c>
      <c r="C4" s="2" t="s">
        <v>233</v>
      </c>
      <c r="D4" s="2" t="s">
        <v>29</v>
      </c>
      <c r="E4" s="2" t="s">
        <v>452</v>
      </c>
      <c r="I4" s="1" t="s">
        <v>194</v>
      </c>
    </row>
    <row r="5" spans="1:11" ht="15" customHeight="1" x14ac:dyDescent="0.2">
      <c r="A5" s="2" t="s">
        <v>20</v>
      </c>
      <c r="B5" s="2" t="s">
        <v>17</v>
      </c>
      <c r="C5" s="2" t="s">
        <v>233</v>
      </c>
      <c r="D5" s="2">
        <v>1.2345679012345678</v>
      </c>
      <c r="F5" s="2"/>
      <c r="G5" s="1" t="s">
        <v>193</v>
      </c>
      <c r="I5" s="2" t="s">
        <v>190</v>
      </c>
    </row>
    <row r="6" spans="1:11" ht="15" customHeight="1" x14ac:dyDescent="0.2">
      <c r="A6" s="2" t="s">
        <v>21</v>
      </c>
      <c r="B6" s="2" t="s">
        <v>17</v>
      </c>
      <c r="C6" s="2" t="s">
        <v>233</v>
      </c>
      <c r="D6" s="2">
        <v>2.3456790123456785E-5</v>
      </c>
      <c r="F6" s="2"/>
      <c r="I6" s="2" t="s">
        <v>191</v>
      </c>
      <c r="J6" s="1" t="str">
        <f>"mean sd="&amp;(I6/(I5-1))^0.5</f>
        <v>mean sd=0.1</v>
      </c>
      <c r="K6" s="1" t="str">
        <f>"std of sd="&amp;(I6^2/((I5-1)^2*(I5-2)))^0.5</f>
        <v>std of sd=0.100000000000001</v>
      </c>
    </row>
    <row r="7" spans="1:11" ht="15" customHeight="1" x14ac:dyDescent="0.2">
      <c r="A7" s="2" t="s">
        <v>22</v>
      </c>
      <c r="B7" s="2" t="s">
        <v>17</v>
      </c>
      <c r="C7" s="2" t="s">
        <v>233</v>
      </c>
      <c r="D7" s="2">
        <v>1.2345679012345678</v>
      </c>
      <c r="F7" s="2"/>
      <c r="I7" s="2" t="s">
        <v>190</v>
      </c>
    </row>
    <row r="8" spans="1:11" ht="15" customHeight="1" x14ac:dyDescent="0.2">
      <c r="A8" s="2" t="s">
        <v>23</v>
      </c>
      <c r="B8" s="2" t="s">
        <v>17</v>
      </c>
      <c r="C8" s="2" t="s">
        <v>233</v>
      </c>
      <c r="D8" s="2">
        <v>5.8641975308641969</v>
      </c>
      <c r="F8" s="2"/>
      <c r="I8" s="2" t="s">
        <v>191</v>
      </c>
      <c r="J8" s="1" t="str">
        <f>"mean sd="&amp;(I8/(I7-1))^0.5</f>
        <v>mean sd=0.1</v>
      </c>
      <c r="K8" s="1" t="str">
        <f>"std of sd="&amp;(I8^2/((I7-1)^2*(I7-2)))^0.5</f>
        <v>std of sd=0.100000000000001</v>
      </c>
    </row>
    <row r="9" spans="1:11" ht="15" customHeight="1" x14ac:dyDescent="0.2">
      <c r="A9" s="2" t="s">
        <v>234</v>
      </c>
      <c r="B9" s="2" t="s">
        <v>17</v>
      </c>
      <c r="C9" s="2" t="s">
        <v>233</v>
      </c>
      <c r="D9" s="2" t="s">
        <v>195</v>
      </c>
      <c r="F9" s="2"/>
      <c r="I9" s="2"/>
    </row>
    <row r="10" spans="1:11" ht="15" customHeight="1" x14ac:dyDescent="0.2">
      <c r="A10" s="2" t="s">
        <v>235</v>
      </c>
      <c r="B10" s="2" t="s">
        <v>196</v>
      </c>
      <c r="C10" s="2" t="s">
        <v>233</v>
      </c>
      <c r="D10" s="2" t="s">
        <v>195</v>
      </c>
      <c r="F10" s="2"/>
      <c r="I10" s="2"/>
    </row>
    <row r="11" spans="1:11" ht="15" customHeight="1" x14ac:dyDescent="0.2">
      <c r="A11" s="2" t="s">
        <v>518</v>
      </c>
      <c r="B11" s="2" t="s">
        <v>17</v>
      </c>
      <c r="C11" s="2" t="s">
        <v>233</v>
      </c>
      <c r="D11" s="2" t="s">
        <v>31</v>
      </c>
    </row>
    <row r="12" spans="1:11" ht="15" customHeight="1" x14ac:dyDescent="0.2">
      <c r="A12" s="2" t="s">
        <v>516</v>
      </c>
      <c r="B12" s="2" t="s">
        <v>17</v>
      </c>
      <c r="C12" s="2" t="s">
        <v>233</v>
      </c>
      <c r="D12" s="2" t="s">
        <v>517</v>
      </c>
    </row>
    <row r="13" spans="1:11" ht="15" customHeight="1" x14ac:dyDescent="0.2">
      <c r="A13" s="2" t="s">
        <v>237</v>
      </c>
      <c r="B13" s="2" t="s">
        <v>17</v>
      </c>
      <c r="C13" s="2" t="s">
        <v>233</v>
      </c>
      <c r="D13" s="2" t="s">
        <v>195</v>
      </c>
      <c r="F13" s="2"/>
      <c r="I13" s="2"/>
    </row>
    <row r="14" spans="1:11" ht="15" customHeight="1" x14ac:dyDescent="0.2">
      <c r="A14" s="2" t="s">
        <v>236</v>
      </c>
      <c r="B14" s="2" t="s">
        <v>196</v>
      </c>
      <c r="C14" s="2" t="s">
        <v>233</v>
      </c>
      <c r="D14" s="2" t="s">
        <v>195</v>
      </c>
      <c r="F14" s="2"/>
      <c r="I14" s="2"/>
    </row>
    <row r="15" spans="1:11" ht="15" customHeight="1" x14ac:dyDescent="0.2">
      <c r="A15" s="2" t="s">
        <v>24</v>
      </c>
      <c r="B15" s="2" t="s">
        <v>17</v>
      </c>
      <c r="C15" s="2" t="s">
        <v>233</v>
      </c>
      <c r="D15" s="2" t="s">
        <v>31</v>
      </c>
    </row>
    <row r="16" spans="1:11" ht="15" customHeight="1" x14ac:dyDescent="0.2">
      <c r="A16" s="2" t="s">
        <v>25</v>
      </c>
      <c r="B16" s="2" t="s">
        <v>17</v>
      </c>
      <c r="C16" s="2" t="s">
        <v>233</v>
      </c>
      <c r="D16" s="2" t="s">
        <v>637</v>
      </c>
    </row>
    <row r="17" spans="1:8" ht="15" customHeight="1" x14ac:dyDescent="0.2">
      <c r="A17" s="2" t="s">
        <v>27</v>
      </c>
      <c r="B17" s="2" t="s">
        <v>17</v>
      </c>
      <c r="C17" s="2" t="s">
        <v>233</v>
      </c>
      <c r="D17" s="2" t="s">
        <v>33</v>
      </c>
    </row>
    <row r="18" spans="1:8" ht="15" customHeight="1" x14ac:dyDescent="0.2">
      <c r="A18" s="2" t="s">
        <v>26</v>
      </c>
      <c r="B18" s="2" t="s">
        <v>17</v>
      </c>
      <c r="C18" s="2" t="s">
        <v>233</v>
      </c>
      <c r="D18" s="2" t="s">
        <v>32</v>
      </c>
      <c r="F18" s="1" t="s">
        <v>54</v>
      </c>
    </row>
    <row r="19" spans="1:8" ht="15" customHeight="1" x14ac:dyDescent="0.2">
      <c r="A19" s="2" t="s">
        <v>45</v>
      </c>
      <c r="B19" s="2" t="s">
        <v>48</v>
      </c>
      <c r="C19" s="2" t="s">
        <v>233</v>
      </c>
      <c r="D19" s="2" t="s">
        <v>60</v>
      </c>
    </row>
    <row r="20" spans="1:8" ht="15" customHeight="1" x14ac:dyDescent="0.2">
      <c r="A20" s="2" t="s">
        <v>49</v>
      </c>
      <c r="B20" s="2" t="s">
        <v>50</v>
      </c>
      <c r="C20" s="2" t="s">
        <v>233</v>
      </c>
      <c r="D20" s="2" t="s">
        <v>520</v>
      </c>
      <c r="G20" s="1" t="s">
        <v>508</v>
      </c>
      <c r="H20" s="2" t="s">
        <v>514</v>
      </c>
    </row>
    <row r="21" spans="1:8" ht="15" customHeight="1" x14ac:dyDescent="0.2">
      <c r="A21" s="2" t="s">
        <v>509</v>
      </c>
      <c r="B21" s="2" t="s">
        <v>266</v>
      </c>
      <c r="C21" s="2" t="s">
        <v>233</v>
      </c>
      <c r="D21" s="2" t="s">
        <v>507</v>
      </c>
    </row>
    <row r="22" spans="1:8" ht="15" customHeight="1" x14ac:dyDescent="0.2">
      <c r="A22" s="2" t="s">
        <v>506</v>
      </c>
      <c r="B22" s="2" t="s">
        <v>17</v>
      </c>
      <c r="C22" s="2" t="s">
        <v>233</v>
      </c>
      <c r="D22" s="2" t="s">
        <v>605</v>
      </c>
    </row>
    <row r="23" spans="1:8" ht="15" customHeight="1" x14ac:dyDescent="0.2">
      <c r="A23" s="2" t="s">
        <v>46</v>
      </c>
      <c r="B23" s="2" t="s">
        <v>48</v>
      </c>
      <c r="C23" s="2" t="s">
        <v>233</v>
      </c>
      <c r="D23" s="2" t="s">
        <v>231</v>
      </c>
      <c r="E23" s="2" t="s">
        <v>284</v>
      </c>
      <c r="F23" s="2"/>
    </row>
    <row r="24" spans="1:8" ht="15" customHeight="1" x14ac:dyDescent="0.2">
      <c r="A24" s="2" t="s">
        <v>229</v>
      </c>
      <c r="B24" s="2" t="s">
        <v>48</v>
      </c>
      <c r="C24" s="2" t="s">
        <v>233</v>
      </c>
      <c r="D24" s="2" t="s">
        <v>232</v>
      </c>
      <c r="E24" s="2" t="s">
        <v>47</v>
      </c>
      <c r="F24" s="2"/>
    </row>
    <row r="25" spans="1:8" ht="15" customHeight="1" x14ac:dyDescent="0.2">
      <c r="A25" s="2" t="s">
        <v>265</v>
      </c>
      <c r="B25" s="2" t="s">
        <v>266</v>
      </c>
      <c r="C25" s="2" t="s">
        <v>233</v>
      </c>
      <c r="D25" s="2" t="s">
        <v>512</v>
      </c>
    </row>
    <row r="26" spans="1:8" ht="15" customHeight="1" x14ac:dyDescent="0.2">
      <c r="A26" s="2" t="s">
        <v>51</v>
      </c>
      <c r="B26" s="2" t="s">
        <v>48</v>
      </c>
      <c r="C26" s="2" t="s">
        <v>233</v>
      </c>
      <c r="D26" s="2" t="s">
        <v>519</v>
      </c>
    </row>
    <row r="27" spans="1:8" ht="15" customHeight="1" x14ac:dyDescent="0.2">
      <c r="A27" s="2" t="s">
        <v>498</v>
      </c>
      <c r="B27" s="2" t="s">
        <v>266</v>
      </c>
      <c r="C27" s="2" t="s">
        <v>233</v>
      </c>
      <c r="D27" s="2" t="s">
        <v>502</v>
      </c>
    </row>
    <row r="28" spans="1:8" ht="15" customHeight="1" x14ac:dyDescent="0.2">
      <c r="A28" s="2" t="s">
        <v>500</v>
      </c>
      <c r="B28" s="2" t="s">
        <v>17</v>
      </c>
      <c r="C28" s="2" t="s">
        <v>233</v>
      </c>
      <c r="D28" s="2" t="s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51C7-70DA-E445-A58F-3CFA2D336B35}">
  <sheetPr codeName="Sheet7"/>
  <dimension ref="A1:F4"/>
  <sheetViews>
    <sheetView zoomScale="177" workbookViewId="0">
      <selection activeCell="F2" sqref="F2"/>
    </sheetView>
  </sheetViews>
  <sheetFormatPr baseColWidth="10" defaultColWidth="8.83203125" defaultRowHeight="15" customHeight="1" x14ac:dyDescent="0.2"/>
  <cols>
    <col min="1" max="1" width="31.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16384" width="8.83203125" style="1"/>
  </cols>
  <sheetData>
    <row r="1" spans="1: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6" ht="15" customHeight="1" x14ac:dyDescent="0.2">
      <c r="A2" s="2" t="s">
        <v>77</v>
      </c>
      <c r="B2" s="2" t="s">
        <v>64</v>
      </c>
      <c r="D2" s="2" t="s">
        <v>75</v>
      </c>
      <c r="F2" s="1" t="s">
        <v>78</v>
      </c>
    </row>
    <row r="3" spans="1:6" ht="15" customHeight="1" x14ac:dyDescent="0.2">
      <c r="A3" s="2" t="s">
        <v>127</v>
      </c>
      <c r="B3" s="2" t="s">
        <v>64</v>
      </c>
      <c r="D3" s="2" t="s">
        <v>75</v>
      </c>
      <c r="E3" s="2" t="s">
        <v>65</v>
      </c>
    </row>
    <row r="4" spans="1:6" ht="15" customHeight="1" x14ac:dyDescent="0.2">
      <c r="A4" s="2" t="s">
        <v>581</v>
      </c>
      <c r="B4" s="2" t="s">
        <v>64</v>
      </c>
      <c r="D4" s="2" t="s">
        <v>75</v>
      </c>
      <c r="E4" s="2" t="s">
        <v>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798C-ED57-3B4B-BECC-E4F9535A661E}">
  <sheetPr codeName="Sheet16" filterMode="1"/>
  <dimension ref="B1:E146"/>
  <sheetViews>
    <sheetView topLeftCell="A91" workbookViewId="0">
      <selection activeCell="E117" sqref="E117"/>
    </sheetView>
  </sheetViews>
  <sheetFormatPr baseColWidth="10" defaultRowHeight="16" x14ac:dyDescent="0.2"/>
  <cols>
    <col min="2" max="2" width="38.83203125" customWidth="1"/>
  </cols>
  <sheetData>
    <row r="1" spans="2:4" x14ac:dyDescent="0.2">
      <c r="B1" t="s">
        <v>285</v>
      </c>
      <c r="C1" t="s">
        <v>11</v>
      </c>
    </row>
    <row r="2" spans="2:4" hidden="1" x14ac:dyDescent="0.2">
      <c r="B2" t="s">
        <v>286</v>
      </c>
      <c r="C2" t="str">
        <f t="shared" ref="C2:C33" si="0">MID(B2,LEN(B2)-7+ISERROR(VALUE(RIGHT(B2,6)))+ISERROR(VALUE(RIGHT(B2,5))),2)</f>
        <v>nf</v>
      </c>
      <c r="D2">
        <v>20</v>
      </c>
    </row>
    <row r="3" spans="2:4" hidden="1" x14ac:dyDescent="0.2">
      <c r="B3" t="s">
        <v>287</v>
      </c>
      <c r="C3" t="str">
        <f t="shared" si="0"/>
        <v>nf</v>
      </c>
      <c r="D3">
        <v>20</v>
      </c>
    </row>
    <row r="4" spans="2:4" hidden="1" x14ac:dyDescent="0.2">
      <c r="B4" t="s">
        <v>288</v>
      </c>
      <c r="C4" t="str">
        <f t="shared" si="0"/>
        <v>nf</v>
      </c>
      <c r="D4">
        <v>21</v>
      </c>
    </row>
    <row r="5" spans="2:4" hidden="1" x14ac:dyDescent="0.2">
      <c r="B5" t="s">
        <v>289</v>
      </c>
      <c r="C5" t="str">
        <f t="shared" si="0"/>
        <v>nf</v>
      </c>
      <c r="D5">
        <v>21</v>
      </c>
    </row>
    <row r="6" spans="2:4" hidden="1" x14ac:dyDescent="0.2">
      <c r="B6" t="s">
        <v>290</v>
      </c>
      <c r="C6" t="str">
        <f t="shared" si="0"/>
        <v>nf</v>
      </c>
      <c r="D6">
        <v>24</v>
      </c>
    </row>
    <row r="7" spans="2:4" hidden="1" x14ac:dyDescent="0.2">
      <c r="B7" t="s">
        <v>291</v>
      </c>
      <c r="C7" t="str">
        <f t="shared" si="0"/>
        <v>nf</v>
      </c>
      <c r="D7">
        <v>31</v>
      </c>
    </row>
    <row r="8" spans="2:4" hidden="1" x14ac:dyDescent="0.2">
      <c r="B8" t="s">
        <v>292</v>
      </c>
      <c r="C8" t="str">
        <f t="shared" si="0"/>
        <v>nr</v>
      </c>
      <c r="D8">
        <v>22</v>
      </c>
    </row>
    <row r="9" spans="2:4" hidden="1" x14ac:dyDescent="0.2">
      <c r="B9" t="s">
        <v>293</v>
      </c>
      <c r="C9" t="str">
        <f t="shared" si="0"/>
        <v>nr</v>
      </c>
      <c r="D9">
        <v>24</v>
      </c>
    </row>
    <row r="10" spans="2:4" hidden="1" x14ac:dyDescent="0.2">
      <c r="B10" t="s">
        <v>294</v>
      </c>
      <c r="C10" t="str">
        <f t="shared" si="0"/>
        <v>nr</v>
      </c>
      <c r="D10">
        <v>24</v>
      </c>
    </row>
    <row r="11" spans="2:4" hidden="1" x14ac:dyDescent="0.2">
      <c r="B11" t="s">
        <v>295</v>
      </c>
      <c r="C11" t="str">
        <f t="shared" si="0"/>
        <v>nr</v>
      </c>
      <c r="D11">
        <v>27</v>
      </c>
    </row>
    <row r="12" spans="2:4" hidden="1" x14ac:dyDescent="0.2">
      <c r="B12" t="s">
        <v>296</v>
      </c>
      <c r="C12" t="str">
        <f t="shared" si="0"/>
        <v>pd</v>
      </c>
      <c r="D12">
        <v>21</v>
      </c>
    </row>
    <row r="13" spans="2:4" hidden="1" x14ac:dyDescent="0.2">
      <c r="B13" t="s">
        <v>297</v>
      </c>
      <c r="C13" t="str">
        <f t="shared" si="0"/>
        <v>pd</v>
      </c>
      <c r="D13">
        <v>21</v>
      </c>
    </row>
    <row r="14" spans="2:4" hidden="1" x14ac:dyDescent="0.2">
      <c r="B14" t="s">
        <v>298</v>
      </c>
      <c r="C14" t="str">
        <f t="shared" si="0"/>
        <v>pd</v>
      </c>
      <c r="D14">
        <v>22</v>
      </c>
    </row>
    <row r="15" spans="2:4" hidden="1" x14ac:dyDescent="0.2">
      <c r="B15" t="s">
        <v>299</v>
      </c>
      <c r="C15" t="str">
        <f t="shared" si="0"/>
        <v>pd</v>
      </c>
      <c r="D15">
        <v>23</v>
      </c>
    </row>
    <row r="16" spans="2:4" hidden="1" x14ac:dyDescent="0.2">
      <c r="B16" t="s">
        <v>300</v>
      </c>
      <c r="C16" t="str">
        <f t="shared" si="0"/>
        <v>pd</v>
      </c>
      <c r="D16">
        <v>24</v>
      </c>
    </row>
    <row r="17" spans="2:4" hidden="1" x14ac:dyDescent="0.2">
      <c r="B17" t="s">
        <v>301</v>
      </c>
      <c r="C17" t="str">
        <f t="shared" si="0"/>
        <v>pd</v>
      </c>
      <c r="D17">
        <v>25</v>
      </c>
    </row>
    <row r="18" spans="2:4" hidden="1" x14ac:dyDescent="0.2">
      <c r="B18" t="s">
        <v>302</v>
      </c>
      <c r="C18" t="str">
        <f t="shared" si="0"/>
        <v>pd</v>
      </c>
      <c r="D18">
        <v>26</v>
      </c>
    </row>
    <row r="19" spans="2:4" hidden="1" x14ac:dyDescent="0.2">
      <c r="B19" t="s">
        <v>303</v>
      </c>
      <c r="C19" t="str">
        <f t="shared" si="0"/>
        <v>pd</v>
      </c>
      <c r="D19">
        <v>29</v>
      </c>
    </row>
    <row r="20" spans="2:4" hidden="1" x14ac:dyDescent="0.2">
      <c r="B20" t="s">
        <v>304</v>
      </c>
      <c r="C20" t="str">
        <f t="shared" si="0"/>
        <v>pd</v>
      </c>
      <c r="D20">
        <v>33</v>
      </c>
    </row>
    <row r="21" spans="2:4" hidden="1" x14ac:dyDescent="0.2">
      <c r="B21" t="s">
        <v>305</v>
      </c>
      <c r="C21" t="str">
        <f t="shared" si="0"/>
        <v>pd</v>
      </c>
      <c r="D21">
        <v>33</v>
      </c>
    </row>
    <row r="22" spans="2:4" hidden="1" x14ac:dyDescent="0.2">
      <c r="B22" t="s">
        <v>306</v>
      </c>
      <c r="C22" t="str">
        <f t="shared" si="0"/>
        <v>pd</v>
      </c>
      <c r="D22">
        <v>35</v>
      </c>
    </row>
    <row r="23" spans="2:4" hidden="1" x14ac:dyDescent="0.2">
      <c r="B23" t="s">
        <v>307</v>
      </c>
      <c r="C23" t="str">
        <f t="shared" si="0"/>
        <v>pd</v>
      </c>
      <c r="D23">
        <v>42</v>
      </c>
    </row>
    <row r="24" spans="2:4" hidden="1" x14ac:dyDescent="0.2">
      <c r="B24" t="s">
        <v>308</v>
      </c>
      <c r="C24" t="str">
        <f t="shared" si="0"/>
        <v>pd</v>
      </c>
      <c r="D24">
        <v>44</v>
      </c>
    </row>
    <row r="25" spans="2:4" hidden="1" x14ac:dyDescent="0.2">
      <c r="B25" t="s">
        <v>309</v>
      </c>
      <c r="C25" t="str">
        <f t="shared" si="0"/>
        <v>pd</v>
      </c>
      <c r="D25">
        <v>46</v>
      </c>
    </row>
    <row r="26" spans="2:4" hidden="1" x14ac:dyDescent="0.2">
      <c r="B26" t="s">
        <v>310</v>
      </c>
      <c r="C26" t="str">
        <f t="shared" si="0"/>
        <v>pe</v>
      </c>
      <c r="D26">
        <v>20</v>
      </c>
    </row>
    <row r="27" spans="2:4" hidden="1" x14ac:dyDescent="0.2">
      <c r="B27" t="s">
        <v>311</v>
      </c>
      <c r="C27" t="str">
        <f t="shared" si="0"/>
        <v>pe</v>
      </c>
      <c r="D27">
        <v>20</v>
      </c>
    </row>
    <row r="28" spans="2:4" hidden="1" x14ac:dyDescent="0.2">
      <c r="B28" t="s">
        <v>312</v>
      </c>
      <c r="C28" t="str">
        <f t="shared" si="0"/>
        <v>pe</v>
      </c>
      <c r="D28">
        <v>20</v>
      </c>
    </row>
    <row r="29" spans="2:4" hidden="1" x14ac:dyDescent="0.2">
      <c r="B29" t="s">
        <v>313</v>
      </c>
      <c r="C29" t="str">
        <f t="shared" si="0"/>
        <v>pe</v>
      </c>
      <c r="D29">
        <v>20</v>
      </c>
    </row>
    <row r="30" spans="2:4" hidden="1" x14ac:dyDescent="0.2">
      <c r="B30" t="s">
        <v>314</v>
      </c>
      <c r="C30" t="str">
        <f t="shared" si="0"/>
        <v>pe</v>
      </c>
      <c r="D30">
        <v>20</v>
      </c>
    </row>
    <row r="31" spans="2:4" hidden="1" x14ac:dyDescent="0.2">
      <c r="B31" t="s">
        <v>315</v>
      </c>
      <c r="C31" t="str">
        <f t="shared" si="0"/>
        <v>pe</v>
      </c>
      <c r="D31">
        <v>20</v>
      </c>
    </row>
    <row r="32" spans="2:4" hidden="1" x14ac:dyDescent="0.2">
      <c r="B32" t="s">
        <v>316</v>
      </c>
      <c r="C32" t="str">
        <f t="shared" si="0"/>
        <v>pe</v>
      </c>
      <c r="D32">
        <v>20</v>
      </c>
    </row>
    <row r="33" spans="2:4" hidden="1" x14ac:dyDescent="0.2">
      <c r="B33" t="s">
        <v>317</v>
      </c>
      <c r="C33" t="str">
        <f t="shared" si="0"/>
        <v>pe</v>
      </c>
      <c r="D33">
        <v>21</v>
      </c>
    </row>
    <row r="34" spans="2:4" hidden="1" x14ac:dyDescent="0.2">
      <c r="B34" t="s">
        <v>318</v>
      </c>
      <c r="C34" t="str">
        <f t="shared" ref="C34:C65" si="1">MID(B34,LEN(B34)-7+ISERROR(VALUE(RIGHT(B34,6)))+ISERROR(VALUE(RIGHT(B34,5))),2)</f>
        <v>pe</v>
      </c>
      <c r="D34">
        <v>21</v>
      </c>
    </row>
    <row r="35" spans="2:4" hidden="1" x14ac:dyDescent="0.2">
      <c r="B35" t="s">
        <v>319</v>
      </c>
      <c r="C35" t="str">
        <f t="shared" si="1"/>
        <v>pe</v>
      </c>
      <c r="D35">
        <v>21</v>
      </c>
    </row>
    <row r="36" spans="2:4" hidden="1" x14ac:dyDescent="0.2">
      <c r="B36" t="s">
        <v>320</v>
      </c>
      <c r="C36" t="str">
        <f t="shared" si="1"/>
        <v>pe</v>
      </c>
      <c r="D36">
        <v>21</v>
      </c>
    </row>
    <row r="37" spans="2:4" hidden="1" x14ac:dyDescent="0.2">
      <c r="B37" t="s">
        <v>321</v>
      </c>
      <c r="C37" t="str">
        <f t="shared" si="1"/>
        <v>pe</v>
      </c>
      <c r="D37">
        <v>21</v>
      </c>
    </row>
    <row r="38" spans="2:4" hidden="1" x14ac:dyDescent="0.2">
      <c r="B38" t="s">
        <v>322</v>
      </c>
      <c r="C38" t="str">
        <f t="shared" si="1"/>
        <v>pe</v>
      </c>
      <c r="D38">
        <v>21</v>
      </c>
    </row>
    <row r="39" spans="2:4" hidden="1" x14ac:dyDescent="0.2">
      <c r="B39" t="s">
        <v>323</v>
      </c>
      <c r="C39" t="str">
        <f t="shared" si="1"/>
        <v>pe</v>
      </c>
      <c r="D39">
        <v>21</v>
      </c>
    </row>
    <row r="40" spans="2:4" hidden="1" x14ac:dyDescent="0.2">
      <c r="B40" t="s">
        <v>324</v>
      </c>
      <c r="C40" t="str">
        <f t="shared" si="1"/>
        <v>pe</v>
      </c>
      <c r="D40">
        <v>21</v>
      </c>
    </row>
    <row r="41" spans="2:4" hidden="1" x14ac:dyDescent="0.2">
      <c r="B41" t="s">
        <v>325</v>
      </c>
      <c r="C41" t="str">
        <f t="shared" si="1"/>
        <v>pe</v>
      </c>
      <c r="D41">
        <v>21</v>
      </c>
    </row>
    <row r="42" spans="2:4" hidden="1" x14ac:dyDescent="0.2">
      <c r="B42" t="s">
        <v>326</v>
      </c>
      <c r="C42" t="str">
        <f t="shared" si="1"/>
        <v>pe</v>
      </c>
      <c r="D42">
        <v>22</v>
      </c>
    </row>
    <row r="43" spans="2:4" hidden="1" x14ac:dyDescent="0.2">
      <c r="B43" t="s">
        <v>327</v>
      </c>
      <c r="C43" t="str">
        <f t="shared" si="1"/>
        <v>pe</v>
      </c>
      <c r="D43">
        <v>22</v>
      </c>
    </row>
    <row r="44" spans="2:4" hidden="1" x14ac:dyDescent="0.2">
      <c r="B44" t="s">
        <v>328</v>
      </c>
      <c r="C44" t="str">
        <f t="shared" si="1"/>
        <v>pe</v>
      </c>
      <c r="D44">
        <v>22</v>
      </c>
    </row>
    <row r="45" spans="2:4" hidden="1" x14ac:dyDescent="0.2">
      <c r="B45" t="s">
        <v>329</v>
      </c>
      <c r="C45" t="str">
        <f t="shared" si="1"/>
        <v>pe</v>
      </c>
      <c r="D45">
        <v>22</v>
      </c>
    </row>
    <row r="46" spans="2:4" hidden="1" x14ac:dyDescent="0.2">
      <c r="B46" t="s">
        <v>330</v>
      </c>
      <c r="C46" t="str">
        <f t="shared" si="1"/>
        <v>pe</v>
      </c>
      <c r="D46">
        <v>22</v>
      </c>
    </row>
    <row r="47" spans="2:4" hidden="1" x14ac:dyDescent="0.2">
      <c r="B47" t="s">
        <v>331</v>
      </c>
      <c r="C47" t="str">
        <f t="shared" si="1"/>
        <v>pe</v>
      </c>
      <c r="D47">
        <v>22</v>
      </c>
    </row>
    <row r="48" spans="2:4" hidden="1" x14ac:dyDescent="0.2">
      <c r="B48" t="s">
        <v>332</v>
      </c>
      <c r="C48" t="str">
        <f t="shared" si="1"/>
        <v>pe</v>
      </c>
      <c r="D48">
        <v>22</v>
      </c>
    </row>
    <row r="49" spans="2:5" hidden="1" x14ac:dyDescent="0.2">
      <c r="B49" t="s">
        <v>333</v>
      </c>
      <c r="C49" t="str">
        <f t="shared" si="1"/>
        <v>pe</v>
      </c>
      <c r="D49">
        <v>23</v>
      </c>
    </row>
    <row r="50" spans="2:5" hidden="1" x14ac:dyDescent="0.2">
      <c r="B50" t="s">
        <v>334</v>
      </c>
      <c r="C50" t="str">
        <f t="shared" si="1"/>
        <v>pe</v>
      </c>
      <c r="D50">
        <v>23</v>
      </c>
    </row>
    <row r="51" spans="2:5" hidden="1" x14ac:dyDescent="0.2">
      <c r="B51" t="s">
        <v>335</v>
      </c>
      <c r="C51" t="str">
        <f t="shared" si="1"/>
        <v>pe</v>
      </c>
      <c r="D51">
        <v>23</v>
      </c>
    </row>
    <row r="52" spans="2:5" hidden="1" x14ac:dyDescent="0.2">
      <c r="B52" t="s">
        <v>336</v>
      </c>
      <c r="C52" t="str">
        <f t="shared" si="1"/>
        <v>pe</v>
      </c>
      <c r="D52">
        <v>23</v>
      </c>
    </row>
    <row r="53" spans="2:5" hidden="1" x14ac:dyDescent="0.2">
      <c r="B53" t="s">
        <v>337</v>
      </c>
      <c r="C53" t="str">
        <f t="shared" si="1"/>
        <v>pe</v>
      </c>
      <c r="D53">
        <v>23</v>
      </c>
    </row>
    <row r="54" spans="2:5" x14ac:dyDescent="0.2">
      <c r="B54" t="s">
        <v>338</v>
      </c>
      <c r="C54" t="str">
        <f t="shared" si="1"/>
        <v>pe</v>
      </c>
      <c r="D54">
        <v>24</v>
      </c>
      <c r="E54" t="str">
        <f>E53&amp;":"&amp;B54&amp;", "</f>
        <v xml:space="preserve">:A_performanceequitymanagementpe29188, </v>
      </c>
    </row>
    <row r="55" spans="2:5" x14ac:dyDescent="0.2">
      <c r="B55" t="s">
        <v>339</v>
      </c>
      <c r="C55" t="str">
        <f t="shared" si="1"/>
        <v>pe</v>
      </c>
      <c r="D55">
        <v>24</v>
      </c>
      <c r="E55" t="str">
        <f t="shared" ref="E55:E117" si="2">E54&amp;":"&amp;B55&amp;", "</f>
        <v xml:space="preserve">:A_performanceequitymanagementpe29188, :A_beeckenpettyokeefecompanype35584, </v>
      </c>
    </row>
    <row r="56" spans="2:5" x14ac:dyDescent="0.2">
      <c r="B56" t="s">
        <v>340</v>
      </c>
      <c r="C56" t="str">
        <f t="shared" si="1"/>
        <v>pe</v>
      </c>
      <c r="D56">
        <v>24</v>
      </c>
      <c r="E56" t="str">
        <f t="shared" si="2"/>
        <v xml:space="preserve">:A_performanceequitymanagementpe29188, :A_beeckenpettyokeefecompanype35584, :A_siriscapitalpe50632, </v>
      </c>
    </row>
    <row r="57" spans="2:5" x14ac:dyDescent="0.2">
      <c r="B57" t="s">
        <v>341</v>
      </c>
      <c r="C57" t="str">
        <f t="shared" si="1"/>
        <v>pe</v>
      </c>
      <c r="D57">
        <v>24</v>
      </c>
      <c r="E57" t="str">
        <f t="shared" si="2"/>
        <v xml:space="preserve">:A_performanceequitymanagementpe29188, :A_beeckenpettyokeefecompanype35584, :A_siriscapitalpe50632, :A_asiaalternativesmanagementpe52173, </v>
      </c>
    </row>
    <row r="58" spans="2:5" x14ac:dyDescent="0.2">
      <c r="B58" t="s">
        <v>342</v>
      </c>
      <c r="C58" t="str">
        <f t="shared" si="1"/>
        <v>pe</v>
      </c>
      <c r="D58">
        <v>24</v>
      </c>
      <c r="E58" t="str">
        <f t="shared" si="2"/>
        <v xml:space="preserve">:A_performanceequitymanagementpe29188, :A_beeckenpettyokeefecompanype35584, :A_siriscapitalpe50632, :A_asiaalternativesmanagementpe52173, :A_thomabravope56945, </v>
      </c>
    </row>
    <row r="59" spans="2:5" x14ac:dyDescent="0.2">
      <c r="B59" t="s">
        <v>343</v>
      </c>
      <c r="C59" t="str">
        <f t="shared" si="1"/>
        <v>pe</v>
      </c>
      <c r="D59">
        <v>24</v>
      </c>
      <c r="E59" t="str">
        <f t="shared" si="2"/>
        <v xml:space="preserve">:A_performanceequitymanagementpe29188, :A_beeckenpettyokeefecompanype35584, :A_siriscapitalpe50632, :A_asiaalternativesmanagementpe52173, :A_thomabravope56945, :A_pantheonpe59649, </v>
      </c>
    </row>
    <row r="60" spans="2:5" x14ac:dyDescent="0.2">
      <c r="B60" t="s">
        <v>344</v>
      </c>
      <c r="C60" t="str">
        <f t="shared" si="1"/>
        <v>pe</v>
      </c>
      <c r="D60">
        <v>25</v>
      </c>
      <c r="E6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</v>
      </c>
    </row>
    <row r="61" spans="2:5" x14ac:dyDescent="0.2">
      <c r="B61" t="s">
        <v>345</v>
      </c>
      <c r="C61" t="str">
        <f t="shared" si="1"/>
        <v>pe</v>
      </c>
      <c r="D61">
        <v>25</v>
      </c>
      <c r="E6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</v>
      </c>
    </row>
    <row r="62" spans="2:5" x14ac:dyDescent="0.2">
      <c r="B62" t="s">
        <v>346</v>
      </c>
      <c r="C62" t="str">
        <f t="shared" si="1"/>
        <v>pe</v>
      </c>
      <c r="D62">
        <v>25</v>
      </c>
      <c r="E6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</v>
      </c>
    </row>
    <row r="63" spans="2:5" x14ac:dyDescent="0.2">
      <c r="B63" t="s">
        <v>347</v>
      </c>
      <c r="C63" t="str">
        <f t="shared" si="1"/>
        <v>pe</v>
      </c>
      <c r="D63">
        <v>25</v>
      </c>
      <c r="E6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</v>
      </c>
    </row>
    <row r="64" spans="2:5" x14ac:dyDescent="0.2">
      <c r="B64" t="s">
        <v>348</v>
      </c>
      <c r="C64" t="str">
        <f t="shared" si="1"/>
        <v>pe</v>
      </c>
      <c r="D64">
        <v>25</v>
      </c>
      <c r="E6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</v>
      </c>
    </row>
    <row r="65" spans="2:5" x14ac:dyDescent="0.2">
      <c r="B65" t="s">
        <v>349</v>
      </c>
      <c r="C65" t="str">
        <f t="shared" si="1"/>
        <v>pe</v>
      </c>
      <c r="D65">
        <v>25</v>
      </c>
      <c r="E6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</v>
      </c>
    </row>
    <row r="66" spans="2:5" x14ac:dyDescent="0.2">
      <c r="B66" t="s">
        <v>350</v>
      </c>
      <c r="C66" t="str">
        <f t="shared" ref="C66:C97" si="3">MID(B66,LEN(B66)-7+ISERROR(VALUE(RIGHT(B66,6)))+ISERROR(VALUE(RIGHT(B66,5))),2)</f>
        <v>pe</v>
      </c>
      <c r="D66">
        <v>25</v>
      </c>
      <c r="E6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</v>
      </c>
    </row>
    <row r="67" spans="2:5" x14ac:dyDescent="0.2">
      <c r="B67" t="s">
        <v>351</v>
      </c>
      <c r="C67" t="str">
        <f t="shared" si="3"/>
        <v>pe</v>
      </c>
      <c r="D67">
        <v>26</v>
      </c>
      <c r="E6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</v>
      </c>
    </row>
    <row r="68" spans="2:5" x14ac:dyDescent="0.2">
      <c r="B68" t="s">
        <v>352</v>
      </c>
      <c r="C68" t="str">
        <f t="shared" si="3"/>
        <v>pe</v>
      </c>
      <c r="D68">
        <v>26</v>
      </c>
      <c r="E68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</v>
      </c>
    </row>
    <row r="69" spans="2:5" x14ac:dyDescent="0.2">
      <c r="B69" t="s">
        <v>353</v>
      </c>
      <c r="C69" t="str">
        <f t="shared" si="3"/>
        <v>pe</v>
      </c>
      <c r="D69">
        <v>26</v>
      </c>
      <c r="E69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</v>
      </c>
    </row>
    <row r="70" spans="2:5" x14ac:dyDescent="0.2">
      <c r="B70" t="s">
        <v>354</v>
      </c>
      <c r="C70" t="str">
        <f t="shared" si="3"/>
        <v>pe</v>
      </c>
      <c r="D70">
        <v>27</v>
      </c>
      <c r="E7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</v>
      </c>
    </row>
    <row r="71" spans="2:5" x14ac:dyDescent="0.2">
      <c r="B71" t="s">
        <v>355</v>
      </c>
      <c r="C71" t="str">
        <f t="shared" si="3"/>
        <v>pe</v>
      </c>
      <c r="D71">
        <v>27</v>
      </c>
      <c r="E7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</v>
      </c>
    </row>
    <row r="72" spans="2:5" x14ac:dyDescent="0.2">
      <c r="B72" t="s">
        <v>356</v>
      </c>
      <c r="C72" t="str">
        <f t="shared" si="3"/>
        <v>pe</v>
      </c>
      <c r="D72">
        <v>27</v>
      </c>
      <c r="E7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</v>
      </c>
    </row>
    <row r="73" spans="2:5" x14ac:dyDescent="0.2">
      <c r="B73" t="s">
        <v>357</v>
      </c>
      <c r="C73" t="str">
        <f t="shared" si="3"/>
        <v>pe</v>
      </c>
      <c r="D73">
        <v>27</v>
      </c>
      <c r="E7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</v>
      </c>
    </row>
    <row r="74" spans="2:5" x14ac:dyDescent="0.2">
      <c r="B74" t="s">
        <v>358</v>
      </c>
      <c r="C74" t="str">
        <f t="shared" si="3"/>
        <v>pe</v>
      </c>
      <c r="D74">
        <v>27</v>
      </c>
      <c r="E7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</v>
      </c>
    </row>
    <row r="75" spans="2:5" x14ac:dyDescent="0.2">
      <c r="B75" t="s">
        <v>359</v>
      </c>
      <c r="C75" t="str">
        <f t="shared" si="3"/>
        <v>pe</v>
      </c>
      <c r="D75">
        <v>28</v>
      </c>
      <c r="E7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</v>
      </c>
    </row>
    <row r="76" spans="2:5" x14ac:dyDescent="0.2">
      <c r="B76" t="s">
        <v>360</v>
      </c>
      <c r="C76" t="str">
        <f t="shared" si="3"/>
        <v>pe</v>
      </c>
      <c r="D76">
        <v>28</v>
      </c>
      <c r="E7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</v>
      </c>
    </row>
    <row r="77" spans="2:5" x14ac:dyDescent="0.2">
      <c r="B77" t="s">
        <v>361</v>
      </c>
      <c r="C77" t="str">
        <f t="shared" si="3"/>
        <v>pe</v>
      </c>
      <c r="D77">
        <v>28</v>
      </c>
      <c r="E7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</v>
      </c>
    </row>
    <row r="78" spans="2:5" x14ac:dyDescent="0.2">
      <c r="B78" t="s">
        <v>362</v>
      </c>
      <c r="C78" t="str">
        <f t="shared" si="3"/>
        <v>pe</v>
      </c>
      <c r="D78">
        <v>28</v>
      </c>
      <c r="E78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</v>
      </c>
    </row>
    <row r="79" spans="2:5" x14ac:dyDescent="0.2">
      <c r="B79" t="s">
        <v>363</v>
      </c>
      <c r="C79" t="str">
        <f t="shared" si="3"/>
        <v>pe</v>
      </c>
      <c r="D79">
        <v>28</v>
      </c>
      <c r="E79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</v>
      </c>
    </row>
    <row r="80" spans="2:5" x14ac:dyDescent="0.2">
      <c r="B80" t="s">
        <v>364</v>
      </c>
      <c r="C80" t="str">
        <f t="shared" si="3"/>
        <v>pe</v>
      </c>
      <c r="D80">
        <v>28</v>
      </c>
      <c r="E8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</v>
      </c>
    </row>
    <row r="81" spans="2:5" x14ac:dyDescent="0.2">
      <c r="B81" t="s">
        <v>365</v>
      </c>
      <c r="C81" t="str">
        <f t="shared" si="3"/>
        <v>pe</v>
      </c>
      <c r="D81">
        <v>28</v>
      </c>
      <c r="E8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</v>
      </c>
    </row>
    <row r="82" spans="2:5" x14ac:dyDescent="0.2">
      <c r="B82" t="s">
        <v>366</v>
      </c>
      <c r="C82" t="str">
        <f t="shared" si="3"/>
        <v>pe</v>
      </c>
      <c r="D82">
        <v>29</v>
      </c>
      <c r="E8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</v>
      </c>
    </row>
    <row r="83" spans="2:5" x14ac:dyDescent="0.2">
      <c r="B83" t="s">
        <v>367</v>
      </c>
      <c r="C83" t="str">
        <f t="shared" si="3"/>
        <v>pe</v>
      </c>
      <c r="D83">
        <v>29</v>
      </c>
      <c r="E8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</v>
      </c>
    </row>
    <row r="84" spans="2:5" x14ac:dyDescent="0.2">
      <c r="B84" t="s">
        <v>368</v>
      </c>
      <c r="C84" t="str">
        <f t="shared" si="3"/>
        <v>pe</v>
      </c>
      <c r="D84">
        <v>30</v>
      </c>
      <c r="E8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</v>
      </c>
    </row>
    <row r="85" spans="2:5" x14ac:dyDescent="0.2">
      <c r="B85" t="s">
        <v>369</v>
      </c>
      <c r="C85" t="str">
        <f t="shared" si="3"/>
        <v>pe</v>
      </c>
      <c r="D85">
        <v>30</v>
      </c>
      <c r="E8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</v>
      </c>
    </row>
    <row r="86" spans="2:5" x14ac:dyDescent="0.2">
      <c r="B86" t="s">
        <v>370</v>
      </c>
      <c r="C86" t="str">
        <f t="shared" si="3"/>
        <v>pe</v>
      </c>
      <c r="D86">
        <v>30</v>
      </c>
      <c r="E8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</v>
      </c>
    </row>
    <row r="87" spans="2:5" x14ac:dyDescent="0.2">
      <c r="B87" t="s">
        <v>371</v>
      </c>
      <c r="C87" t="str">
        <f t="shared" si="3"/>
        <v>pe</v>
      </c>
      <c r="D87">
        <v>31</v>
      </c>
      <c r="E8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</v>
      </c>
    </row>
    <row r="88" spans="2:5" x14ac:dyDescent="0.2">
      <c r="B88" t="s">
        <v>372</v>
      </c>
      <c r="C88" t="str">
        <f t="shared" si="3"/>
        <v>pe</v>
      </c>
      <c r="D88">
        <v>31</v>
      </c>
      <c r="E88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</v>
      </c>
    </row>
    <row r="89" spans="2:5" x14ac:dyDescent="0.2">
      <c r="B89" t="s">
        <v>373</v>
      </c>
      <c r="C89" t="str">
        <f t="shared" si="3"/>
        <v>pe</v>
      </c>
      <c r="D89">
        <v>31</v>
      </c>
      <c r="E89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</v>
      </c>
    </row>
    <row r="90" spans="2:5" x14ac:dyDescent="0.2">
      <c r="B90" t="s">
        <v>374</v>
      </c>
      <c r="C90" t="str">
        <f t="shared" si="3"/>
        <v>pe</v>
      </c>
      <c r="D90">
        <v>31</v>
      </c>
      <c r="E9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</v>
      </c>
    </row>
    <row r="91" spans="2:5" x14ac:dyDescent="0.2">
      <c r="B91" t="s">
        <v>375</v>
      </c>
      <c r="C91" t="str">
        <f t="shared" si="3"/>
        <v>pe</v>
      </c>
      <c r="D91">
        <v>31</v>
      </c>
      <c r="E9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</v>
      </c>
    </row>
    <row r="92" spans="2:5" x14ac:dyDescent="0.2">
      <c r="B92" t="s">
        <v>376</v>
      </c>
      <c r="C92" t="str">
        <f t="shared" si="3"/>
        <v>pe</v>
      </c>
      <c r="D92">
        <v>31</v>
      </c>
      <c r="E9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</v>
      </c>
    </row>
    <row r="93" spans="2:5" x14ac:dyDescent="0.2">
      <c r="B93" t="s">
        <v>377</v>
      </c>
      <c r="C93" t="str">
        <f t="shared" si="3"/>
        <v>pe</v>
      </c>
      <c r="D93">
        <v>32</v>
      </c>
      <c r="E9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</v>
      </c>
    </row>
    <row r="94" spans="2:5" x14ac:dyDescent="0.2">
      <c r="B94" t="s">
        <v>378</v>
      </c>
      <c r="C94" t="str">
        <f t="shared" si="3"/>
        <v>pe</v>
      </c>
      <c r="D94">
        <v>32</v>
      </c>
      <c r="E9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</v>
      </c>
    </row>
    <row r="95" spans="2:5" x14ac:dyDescent="0.2">
      <c r="B95" t="s">
        <v>379</v>
      </c>
      <c r="C95" t="str">
        <f t="shared" si="3"/>
        <v>pe</v>
      </c>
      <c r="D95">
        <v>32</v>
      </c>
      <c r="E9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</v>
      </c>
    </row>
    <row r="96" spans="2:5" x14ac:dyDescent="0.2">
      <c r="B96" t="s">
        <v>380</v>
      </c>
      <c r="C96" t="str">
        <f t="shared" si="3"/>
        <v>pe</v>
      </c>
      <c r="D96">
        <v>33</v>
      </c>
      <c r="E9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</v>
      </c>
    </row>
    <row r="97" spans="2:5" x14ac:dyDescent="0.2">
      <c r="B97" t="s">
        <v>381</v>
      </c>
      <c r="C97" t="str">
        <f t="shared" si="3"/>
        <v>pe</v>
      </c>
      <c r="D97">
        <v>33</v>
      </c>
      <c r="E9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</v>
      </c>
    </row>
    <row r="98" spans="2:5" x14ac:dyDescent="0.2">
      <c r="B98" t="s">
        <v>382</v>
      </c>
      <c r="C98" t="str">
        <f t="shared" ref="C98:C129" si="4">MID(B98,LEN(B98)-7+ISERROR(VALUE(RIGHT(B98,6)))+ISERROR(VALUE(RIGHT(B98,5))),2)</f>
        <v>pe</v>
      </c>
      <c r="D98">
        <v>34</v>
      </c>
      <c r="E98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</v>
      </c>
    </row>
    <row r="99" spans="2:5" x14ac:dyDescent="0.2">
      <c r="B99" t="s">
        <v>383</v>
      </c>
      <c r="C99" t="str">
        <f t="shared" si="4"/>
        <v>pe</v>
      </c>
      <c r="D99">
        <v>35</v>
      </c>
      <c r="E99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</v>
      </c>
    </row>
    <row r="100" spans="2:5" x14ac:dyDescent="0.2">
      <c r="B100" t="s">
        <v>384</v>
      </c>
      <c r="C100" t="str">
        <f t="shared" si="4"/>
        <v>pe</v>
      </c>
      <c r="D100">
        <v>35</v>
      </c>
      <c r="E10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</v>
      </c>
    </row>
    <row r="101" spans="2:5" x14ac:dyDescent="0.2">
      <c r="B101" t="s">
        <v>385</v>
      </c>
      <c r="C101" t="str">
        <f t="shared" si="4"/>
        <v>pe</v>
      </c>
      <c r="D101">
        <v>35</v>
      </c>
      <c r="E10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</v>
      </c>
    </row>
    <row r="102" spans="2:5" x14ac:dyDescent="0.2">
      <c r="B102" t="s">
        <v>386</v>
      </c>
      <c r="C102" t="str">
        <f t="shared" si="4"/>
        <v>pe</v>
      </c>
      <c r="D102">
        <v>35</v>
      </c>
      <c r="E10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</v>
      </c>
    </row>
    <row r="103" spans="2:5" x14ac:dyDescent="0.2">
      <c r="B103" t="s">
        <v>387</v>
      </c>
      <c r="C103" t="str">
        <f t="shared" si="4"/>
        <v>pe</v>
      </c>
      <c r="D103">
        <v>36</v>
      </c>
      <c r="E10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</v>
      </c>
    </row>
    <row r="104" spans="2:5" x14ac:dyDescent="0.2">
      <c r="B104" t="s">
        <v>388</v>
      </c>
      <c r="C104" t="str">
        <f t="shared" si="4"/>
        <v>pe</v>
      </c>
      <c r="D104">
        <v>37</v>
      </c>
      <c r="E10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</v>
      </c>
    </row>
    <row r="105" spans="2:5" x14ac:dyDescent="0.2">
      <c r="B105" t="s">
        <v>389</v>
      </c>
      <c r="C105" t="str">
        <f t="shared" si="4"/>
        <v>pe</v>
      </c>
      <c r="D105">
        <v>37</v>
      </c>
      <c r="E10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</v>
      </c>
    </row>
    <row r="106" spans="2:5" x14ac:dyDescent="0.2">
      <c r="B106" t="s">
        <v>390</v>
      </c>
      <c r="C106" t="str">
        <f t="shared" si="4"/>
        <v>pe</v>
      </c>
      <c r="D106">
        <v>37</v>
      </c>
      <c r="E10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</v>
      </c>
    </row>
    <row r="107" spans="2:5" x14ac:dyDescent="0.2">
      <c r="B107" t="s">
        <v>391</v>
      </c>
      <c r="C107" t="str">
        <f t="shared" si="4"/>
        <v>pe</v>
      </c>
      <c r="D107">
        <v>38</v>
      </c>
      <c r="E10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</v>
      </c>
    </row>
    <row r="108" spans="2:5" x14ac:dyDescent="0.2">
      <c r="B108" t="s">
        <v>392</v>
      </c>
      <c r="C108" t="str">
        <f t="shared" si="4"/>
        <v>pe</v>
      </c>
      <c r="D108">
        <v>39</v>
      </c>
      <c r="E108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</v>
      </c>
    </row>
    <row r="109" spans="2:5" x14ac:dyDescent="0.2">
      <c r="B109" t="s">
        <v>393</v>
      </c>
      <c r="C109" t="str">
        <f t="shared" si="4"/>
        <v>pe</v>
      </c>
      <c r="D109">
        <v>39</v>
      </c>
      <c r="E109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</v>
      </c>
    </row>
    <row r="110" spans="2:5" x14ac:dyDescent="0.2">
      <c r="B110" t="s">
        <v>394</v>
      </c>
      <c r="C110" t="str">
        <f t="shared" si="4"/>
        <v>pe</v>
      </c>
      <c r="D110">
        <v>41</v>
      </c>
      <c r="E110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</v>
      </c>
    </row>
    <row r="111" spans="2:5" x14ac:dyDescent="0.2">
      <c r="B111" t="s">
        <v>395</v>
      </c>
      <c r="C111" t="str">
        <f t="shared" si="4"/>
        <v>pe</v>
      </c>
      <c r="D111">
        <v>41</v>
      </c>
      <c r="E111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</v>
      </c>
    </row>
    <row r="112" spans="2:5" x14ac:dyDescent="0.2">
      <c r="B112" t="s">
        <v>396</v>
      </c>
      <c r="C112" t="str">
        <f t="shared" si="4"/>
        <v>pe</v>
      </c>
      <c r="D112">
        <v>42</v>
      </c>
      <c r="E112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</v>
      </c>
    </row>
    <row r="113" spans="2:5" x14ac:dyDescent="0.2">
      <c r="B113" t="s">
        <v>397</v>
      </c>
      <c r="C113" t="str">
        <f t="shared" si="4"/>
        <v>pe</v>
      </c>
      <c r="D113">
        <v>43</v>
      </c>
      <c r="E113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</v>
      </c>
    </row>
    <row r="114" spans="2:5" x14ac:dyDescent="0.2">
      <c r="B114" t="s">
        <v>398</v>
      </c>
      <c r="C114" t="str">
        <f t="shared" si="4"/>
        <v>pe</v>
      </c>
      <c r="D114">
        <v>45</v>
      </c>
      <c r="E114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:A_gcmgrosvenorpe14077, </v>
      </c>
    </row>
    <row r="115" spans="2:5" x14ac:dyDescent="0.2">
      <c r="B115" t="s">
        <v>399</v>
      </c>
      <c r="C115" t="str">
        <f t="shared" si="4"/>
        <v>pe</v>
      </c>
      <c r="D115">
        <v>47</v>
      </c>
      <c r="E115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:A_gcmgrosvenorpe14077, :A_jmiequitype3498, </v>
      </c>
    </row>
    <row r="116" spans="2:5" x14ac:dyDescent="0.2">
      <c r="B116" t="s">
        <v>400</v>
      </c>
      <c r="C116" t="str">
        <f t="shared" si="4"/>
        <v>pe</v>
      </c>
      <c r="D116">
        <v>48</v>
      </c>
      <c r="E116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:A_gcmgrosvenorpe14077, :A_jmiequitype3498, :A_berkshirepartnerspe8335, </v>
      </c>
    </row>
    <row r="117" spans="2:5" x14ac:dyDescent="0.2">
      <c r="B117" t="s">
        <v>401</v>
      </c>
      <c r="C117" t="str">
        <f t="shared" si="4"/>
        <v>pe</v>
      </c>
      <c r="D117">
        <v>55</v>
      </c>
      <c r="E117" t="str">
        <f t="shared" si="2"/>
        <v xml:space="preserve">:A_performanceequitymanagementpe29188, :A_beeckenpettyokeefecompanype35584, :A_siriscapitalpe50632, :A_asiaalternativesmanagementpe52173, :A_thomabravope56945, :A_pantheonpe59649, :A_intellectualventurespe11659, :A_hirtlecallaghancope18309, :A_olympuspartnerspe35771, :A_freemanspoglicope38952, :A_abbottcapitalmanagementpe44857, :A_insightpartnerspe51727, :A_clearlakecapitalgrouppe53366, :A_grovestreetadvisorspe21630, :A_inclineequitypartnerspe23526, :A_sandscapitalventurespe53315, :A_newmountaincapitalpe34882, :A_abbottcapitalmanagementpe37784, :A_greathillpartnerspe42207, :A_adamsstreetpartnerspe43432, :A_gloustoncapitalpartnerspe44551, :A_asiaalternativesmanagementpe140779, :A_quadcpe21440, :A_fordfinancialpe30165, :A_fflpartnerspe43317, :A_bowsidecapitalpe44945, :A_franklinparkpe46312, :A_veritascapitalpe48136, :A_rcpadvisorspe30268, :A_abbottcapitalmanagementpe31917, :A_courtsquarepe29317, :A_harbourvestpartnerspe41876, :A_lightspeedventurepartnerspe45450, :A_schroderscapitalpe18287, :A_alvarezmarsalcapitalpe20120, :A_parthenoncapitalpe24620, :A_asiaalternativesmanagementpe25515, :A_apogemcapitalpe30468, :A_oceanavenuecapitalpartnerspe47163, :A_asiaalternativesmanagementpe18530, :A_asiaalternativesmanagementpe25516, :A_primuscapitalpe29076, :A_pantheonpe17906, :A_capitaldynamicspe30025, :A_evergreenpacificpartnerspe13943, :A_franciscopartnerspe16179, :A_adamsstreetpartnerspe22379, :A_adamsstreetpartnerspe22380, :A_adamsstreetpartnerspe48567, :A_gloustoncapitalpartnerspe21613, :A_rcpadvisorspe18076, :A_adamsstreetpartnerspe21015, :A_altuscapitalpartnerspe23979, :A_adamsstreetpartnerspe15580, :A_mesirowfinancialpe14533, :A_adamsstreetpartnerspe19144, :A_stonepointcapitalpe16665, :A_gcmgrosvenorpe35209, :A_gcmgrosvenorpe7365, :A_adamsstreetpartnerspe10545, :A_gcmgrosvenorpe14077, :A_jmiequitype3498, :A_berkshirepartnerspe8335, :A_harbourvestpartnerspe8836, </v>
      </c>
    </row>
    <row r="118" spans="2:5" hidden="1" x14ac:dyDescent="0.2">
      <c r="B118" t="s">
        <v>402</v>
      </c>
      <c r="C118" t="str">
        <f t="shared" si="4"/>
        <v>re</v>
      </c>
      <c r="D118">
        <v>20</v>
      </c>
    </row>
    <row r="119" spans="2:5" hidden="1" x14ac:dyDescent="0.2">
      <c r="B119" t="s">
        <v>403</v>
      </c>
      <c r="C119" t="str">
        <f t="shared" si="4"/>
        <v>re</v>
      </c>
      <c r="D119">
        <v>20</v>
      </c>
    </row>
    <row r="120" spans="2:5" hidden="1" x14ac:dyDescent="0.2">
      <c r="B120" t="s">
        <v>404</v>
      </c>
      <c r="C120" t="str">
        <f t="shared" si="4"/>
        <v>re</v>
      </c>
      <c r="D120">
        <v>21</v>
      </c>
    </row>
    <row r="121" spans="2:5" hidden="1" x14ac:dyDescent="0.2">
      <c r="B121" t="s">
        <v>405</v>
      </c>
      <c r="C121" t="str">
        <f t="shared" si="4"/>
        <v>re</v>
      </c>
      <c r="D121">
        <v>21</v>
      </c>
    </row>
    <row r="122" spans="2:5" hidden="1" x14ac:dyDescent="0.2">
      <c r="B122" t="s">
        <v>406</v>
      </c>
      <c r="C122" t="str">
        <f t="shared" si="4"/>
        <v>re</v>
      </c>
      <c r="D122">
        <v>21</v>
      </c>
    </row>
    <row r="123" spans="2:5" hidden="1" x14ac:dyDescent="0.2">
      <c r="B123" t="s">
        <v>407</v>
      </c>
      <c r="C123" t="str">
        <f t="shared" si="4"/>
        <v>re</v>
      </c>
      <c r="D123">
        <v>21</v>
      </c>
    </row>
    <row r="124" spans="2:5" hidden="1" x14ac:dyDescent="0.2">
      <c r="B124" t="s">
        <v>408</v>
      </c>
      <c r="C124" t="str">
        <f t="shared" si="4"/>
        <v>re</v>
      </c>
      <c r="D124">
        <v>21</v>
      </c>
    </row>
    <row r="125" spans="2:5" hidden="1" x14ac:dyDescent="0.2">
      <c r="B125" t="s">
        <v>409</v>
      </c>
      <c r="C125" t="str">
        <f t="shared" si="4"/>
        <v>re</v>
      </c>
      <c r="D125">
        <v>22</v>
      </c>
    </row>
    <row r="126" spans="2:5" hidden="1" x14ac:dyDescent="0.2">
      <c r="B126" t="s">
        <v>410</v>
      </c>
      <c r="C126" t="str">
        <f t="shared" si="4"/>
        <v>re</v>
      </c>
      <c r="D126">
        <v>22</v>
      </c>
    </row>
    <row r="127" spans="2:5" hidden="1" x14ac:dyDescent="0.2">
      <c r="B127" t="s">
        <v>411</v>
      </c>
      <c r="C127" t="str">
        <f t="shared" si="4"/>
        <v>re</v>
      </c>
      <c r="D127">
        <v>22</v>
      </c>
    </row>
    <row r="128" spans="2:5" hidden="1" x14ac:dyDescent="0.2">
      <c r="B128" t="s">
        <v>412</v>
      </c>
      <c r="C128" t="str">
        <f t="shared" si="4"/>
        <v>re</v>
      </c>
      <c r="D128">
        <v>22</v>
      </c>
    </row>
    <row r="129" spans="2:4" hidden="1" x14ac:dyDescent="0.2">
      <c r="B129" t="s">
        <v>413</v>
      </c>
      <c r="C129" t="str">
        <f t="shared" si="4"/>
        <v>re</v>
      </c>
      <c r="D129">
        <v>22</v>
      </c>
    </row>
    <row r="130" spans="2:4" hidden="1" x14ac:dyDescent="0.2">
      <c r="B130" t="s">
        <v>414</v>
      </c>
      <c r="C130" t="str">
        <f t="shared" ref="C130:C146" si="5">MID(B130,LEN(B130)-7+ISERROR(VALUE(RIGHT(B130,6)))+ISERROR(VALUE(RIGHT(B130,5))),2)</f>
        <v>re</v>
      </c>
      <c r="D130">
        <v>23</v>
      </c>
    </row>
    <row r="131" spans="2:4" hidden="1" x14ac:dyDescent="0.2">
      <c r="B131" t="s">
        <v>415</v>
      </c>
      <c r="C131" t="str">
        <f t="shared" si="5"/>
        <v>re</v>
      </c>
      <c r="D131">
        <v>23</v>
      </c>
    </row>
    <row r="132" spans="2:4" hidden="1" x14ac:dyDescent="0.2">
      <c r="B132" t="s">
        <v>416</v>
      </c>
      <c r="C132" t="str">
        <f t="shared" si="5"/>
        <v>re</v>
      </c>
      <c r="D132">
        <v>23</v>
      </c>
    </row>
    <row r="133" spans="2:4" hidden="1" x14ac:dyDescent="0.2">
      <c r="B133" t="s">
        <v>417</v>
      </c>
      <c r="C133" t="str">
        <f t="shared" si="5"/>
        <v>re</v>
      </c>
      <c r="D133">
        <v>24</v>
      </c>
    </row>
    <row r="134" spans="2:4" hidden="1" x14ac:dyDescent="0.2">
      <c r="B134" t="s">
        <v>418</v>
      </c>
      <c r="C134" t="str">
        <f t="shared" si="5"/>
        <v>re</v>
      </c>
      <c r="D134">
        <v>24</v>
      </c>
    </row>
    <row r="135" spans="2:4" hidden="1" x14ac:dyDescent="0.2">
      <c r="B135" t="s">
        <v>419</v>
      </c>
      <c r="C135" t="str">
        <f t="shared" si="5"/>
        <v>re</v>
      </c>
      <c r="D135">
        <v>24</v>
      </c>
    </row>
    <row r="136" spans="2:4" hidden="1" x14ac:dyDescent="0.2">
      <c r="B136" t="s">
        <v>420</v>
      </c>
      <c r="C136" t="str">
        <f t="shared" si="5"/>
        <v>re</v>
      </c>
      <c r="D136">
        <v>25</v>
      </c>
    </row>
    <row r="137" spans="2:4" hidden="1" x14ac:dyDescent="0.2">
      <c r="B137" t="s">
        <v>421</v>
      </c>
      <c r="C137" t="str">
        <f t="shared" si="5"/>
        <v>re</v>
      </c>
      <c r="D137">
        <v>25</v>
      </c>
    </row>
    <row r="138" spans="2:4" hidden="1" x14ac:dyDescent="0.2">
      <c r="B138" t="s">
        <v>422</v>
      </c>
      <c r="C138" t="str">
        <f t="shared" si="5"/>
        <v>re</v>
      </c>
      <c r="D138">
        <v>26</v>
      </c>
    </row>
    <row r="139" spans="2:4" hidden="1" x14ac:dyDescent="0.2">
      <c r="B139" t="s">
        <v>423</v>
      </c>
      <c r="C139" t="str">
        <f t="shared" si="5"/>
        <v>re</v>
      </c>
      <c r="D139">
        <v>26</v>
      </c>
    </row>
    <row r="140" spans="2:4" hidden="1" x14ac:dyDescent="0.2">
      <c r="B140" t="s">
        <v>424</v>
      </c>
      <c r="C140" t="str">
        <f t="shared" si="5"/>
        <v>re</v>
      </c>
      <c r="D140">
        <v>27</v>
      </c>
    </row>
    <row r="141" spans="2:4" hidden="1" x14ac:dyDescent="0.2">
      <c r="B141" t="s">
        <v>425</v>
      </c>
      <c r="C141" t="str">
        <f t="shared" si="5"/>
        <v>re</v>
      </c>
      <c r="D141">
        <v>30</v>
      </c>
    </row>
    <row r="142" spans="2:4" hidden="1" x14ac:dyDescent="0.2">
      <c r="B142" t="s">
        <v>426</v>
      </c>
      <c r="C142" t="str">
        <f t="shared" si="5"/>
        <v>re</v>
      </c>
      <c r="D142">
        <v>32</v>
      </c>
    </row>
    <row r="143" spans="2:4" hidden="1" x14ac:dyDescent="0.2">
      <c r="B143" t="s">
        <v>427</v>
      </c>
      <c r="C143" t="str">
        <f t="shared" si="5"/>
        <v>re</v>
      </c>
      <c r="D143">
        <v>32</v>
      </c>
    </row>
    <row r="144" spans="2:4" hidden="1" x14ac:dyDescent="0.2">
      <c r="B144" t="s">
        <v>428</v>
      </c>
      <c r="C144" t="str">
        <f t="shared" si="5"/>
        <v>re</v>
      </c>
      <c r="D144">
        <v>34</v>
      </c>
    </row>
    <row r="145" spans="2:4" hidden="1" x14ac:dyDescent="0.2">
      <c r="B145" t="s">
        <v>429</v>
      </c>
      <c r="C145" t="str">
        <f t="shared" si="5"/>
        <v>re</v>
      </c>
      <c r="D145">
        <v>35</v>
      </c>
    </row>
    <row r="146" spans="2:4" hidden="1" x14ac:dyDescent="0.2">
      <c r="B146" t="s">
        <v>430</v>
      </c>
      <c r="C146" t="str">
        <f t="shared" si="5"/>
        <v>re</v>
      </c>
      <c r="D146">
        <v>45</v>
      </c>
    </row>
  </sheetData>
  <autoFilter ref="B1:D146" xr:uid="{BFB70EE7-864B-994E-8802-A9D9FE941250}">
    <filterColumn colId="1">
      <filters>
        <filter val="pe"/>
      </filters>
    </filterColumn>
    <filterColumn colId="2">
      <customFilters>
        <customFilter operator="greaterThanOrEqual" val="24"/>
      </customFilters>
    </filterColumn>
    <sortState xmlns:xlrd2="http://schemas.microsoft.com/office/spreadsheetml/2017/richdata2" ref="B2:D146">
      <sortCondition ref="C2:C146"/>
      <sortCondition ref="D2:D1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9F74C-EC69-E74F-8B64-5B9657C9FFBF}">
  <dimension ref="A1:H10"/>
  <sheetViews>
    <sheetView zoomScale="132" zoomScaleNormal="120" workbookViewId="0">
      <selection activeCell="D9" sqref="D9"/>
    </sheetView>
  </sheetViews>
  <sheetFormatPr baseColWidth="10" defaultColWidth="8.83203125" defaultRowHeight="15" customHeight="1" x14ac:dyDescent="0.2"/>
  <cols>
    <col min="1" max="1" width="36.83203125" style="2" customWidth="1"/>
    <col min="2" max="3" width="13" style="2" customWidth="1"/>
    <col min="4" max="4" width="53.5" style="2" customWidth="1"/>
    <col min="5" max="5" width="25.6640625" style="2" customWidth="1"/>
    <col min="6" max="16384" width="8.83203125" style="1"/>
  </cols>
  <sheetData>
    <row r="1" spans="1:8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8" ht="15" customHeight="1" x14ac:dyDescent="0.2">
      <c r="A2" s="2" t="s">
        <v>600</v>
      </c>
      <c r="B2" s="2" t="s">
        <v>36</v>
      </c>
      <c r="D2" s="2" t="s">
        <v>568</v>
      </c>
      <c r="F2" s="2" t="s">
        <v>569</v>
      </c>
      <c r="G2" s="2"/>
    </row>
    <row r="3" spans="1:8" ht="16" customHeight="1" x14ac:dyDescent="0.2">
      <c r="A3" s="2" t="s">
        <v>570</v>
      </c>
      <c r="B3" s="2" t="s">
        <v>571</v>
      </c>
      <c r="D3" s="2" t="s">
        <v>604</v>
      </c>
      <c r="E3" s="2" t="s">
        <v>618</v>
      </c>
    </row>
    <row r="4" spans="1:8" ht="16" customHeight="1" x14ac:dyDescent="0.2">
      <c r="A4" s="2" t="s">
        <v>626</v>
      </c>
      <c r="B4" s="2" t="s">
        <v>571</v>
      </c>
      <c r="D4" s="2" t="s">
        <v>627</v>
      </c>
      <c r="E4" s="2" t="s">
        <v>631</v>
      </c>
    </row>
    <row r="5" spans="1:8" ht="15" customHeight="1" x14ac:dyDescent="0.2">
      <c r="A5" s="2" t="s">
        <v>572</v>
      </c>
      <c r="B5" s="2" t="s">
        <v>36</v>
      </c>
      <c r="D5" s="2" t="s">
        <v>573</v>
      </c>
      <c r="E5" s="2" t="s">
        <v>595</v>
      </c>
      <c r="F5" s="2" t="s">
        <v>596</v>
      </c>
    </row>
    <row r="6" spans="1:8" ht="15" customHeight="1" x14ac:dyDescent="0.2">
      <c r="A6" s="2" t="s">
        <v>584</v>
      </c>
      <c r="B6" s="2" t="s">
        <v>36</v>
      </c>
      <c r="D6" s="2" t="s">
        <v>583</v>
      </c>
      <c r="F6" s="2"/>
      <c r="G6" s="2"/>
      <c r="H6" s="2"/>
    </row>
    <row r="7" spans="1:8" ht="15" customHeight="1" x14ac:dyDescent="0.2">
      <c r="A7" s="2" t="s">
        <v>593</v>
      </c>
      <c r="B7" s="2" t="s">
        <v>590</v>
      </c>
      <c r="D7" s="2" t="s">
        <v>591</v>
      </c>
      <c r="F7" s="1" t="s">
        <v>592</v>
      </c>
    </row>
    <row r="8" spans="1:8" ht="15" customHeight="1" x14ac:dyDescent="0.2">
      <c r="A8" s="2" t="s">
        <v>603</v>
      </c>
      <c r="B8" s="2" t="s">
        <v>64</v>
      </c>
      <c r="D8" s="2" t="s">
        <v>75</v>
      </c>
      <c r="E8" s="2" t="s">
        <v>65</v>
      </c>
    </row>
    <row r="9" spans="1:8" ht="15" customHeight="1" x14ac:dyDescent="0.2">
      <c r="A9" s="2" t="s">
        <v>622</v>
      </c>
      <c r="B9" s="2" t="s">
        <v>36</v>
      </c>
      <c r="D9" s="1" t="s">
        <v>621</v>
      </c>
      <c r="E9" s="1"/>
    </row>
    <row r="10" spans="1:8" ht="15" customHeight="1" x14ac:dyDescent="0.2">
      <c r="A10" s="2" t="s">
        <v>623</v>
      </c>
      <c r="B10" s="2" t="s">
        <v>36</v>
      </c>
      <c r="D10" s="2" t="s">
        <v>620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ABC0-C6E5-E24A-B2D7-34F403FDF2A7}">
  <sheetPr codeName="Sheet12"/>
  <dimension ref="A1:K23"/>
  <sheetViews>
    <sheetView topLeftCell="A9" zoomScale="178" workbookViewId="0">
      <selection activeCell="C19" sqref="C19:C23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6" width="18" style="1" customWidth="1"/>
    <col min="7" max="7" width="8.83203125" style="1"/>
    <col min="8" max="8" width="15" style="1" customWidth="1"/>
    <col min="9" max="16384" width="8.83203125" style="1"/>
  </cols>
  <sheetData>
    <row r="1" spans="1:11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1" ht="15" customHeight="1" x14ac:dyDescent="0.2">
      <c r="A2" s="2" t="s">
        <v>18</v>
      </c>
      <c r="B2" s="2" t="s">
        <v>17</v>
      </c>
      <c r="C2" s="2" t="s">
        <v>250</v>
      </c>
      <c r="D2" s="2" t="s">
        <v>28</v>
      </c>
      <c r="E2" s="2" t="s">
        <v>224</v>
      </c>
    </row>
    <row r="3" spans="1:11" ht="15" customHeight="1" x14ac:dyDescent="0.2">
      <c r="A3" s="2" t="s">
        <v>53</v>
      </c>
      <c r="B3" s="2" t="s">
        <v>17</v>
      </c>
      <c r="C3" s="2" t="s">
        <v>250</v>
      </c>
      <c r="D3" s="2" t="s">
        <v>29</v>
      </c>
      <c r="E3" s="2">
        <v>1.1720116618075798</v>
      </c>
      <c r="F3" s="2"/>
      <c r="G3" s="1">
        <v>1.0203040506070808</v>
      </c>
    </row>
    <row r="4" spans="1:11" ht="15" customHeight="1" x14ac:dyDescent="0.2">
      <c r="A4" s="2" t="s">
        <v>19</v>
      </c>
      <c r="B4" s="2" t="s">
        <v>17</v>
      </c>
      <c r="C4" s="2" t="s">
        <v>250</v>
      </c>
      <c r="D4" s="2" t="s">
        <v>29</v>
      </c>
      <c r="E4" s="2">
        <v>2.9300291545189499</v>
      </c>
      <c r="F4" s="2"/>
      <c r="G4" s="1">
        <v>5.0760126517702126E-7</v>
      </c>
      <c r="I4" s="1" t="s">
        <v>194</v>
      </c>
    </row>
    <row r="5" spans="1:11" ht="15" customHeight="1" x14ac:dyDescent="0.2">
      <c r="A5" s="2" t="s">
        <v>20</v>
      </c>
      <c r="B5" s="2" t="s">
        <v>17</v>
      </c>
      <c r="C5" s="2" t="s">
        <v>250</v>
      </c>
      <c r="D5" s="2" t="s">
        <v>29</v>
      </c>
      <c r="E5" s="2">
        <v>1.2345679012345678</v>
      </c>
      <c r="F5" s="2"/>
      <c r="I5" s="2" t="s">
        <v>190</v>
      </c>
    </row>
    <row r="6" spans="1:11" ht="15" customHeight="1" x14ac:dyDescent="0.2">
      <c r="A6" s="2" t="s">
        <v>21</v>
      </c>
      <c r="B6" s="2" t="s">
        <v>17</v>
      </c>
      <c r="C6" s="2" t="s">
        <v>250</v>
      </c>
      <c r="D6" s="2" t="s">
        <v>43</v>
      </c>
      <c r="E6" s="2">
        <v>2.3456790123456785E-5</v>
      </c>
      <c r="F6" s="2"/>
      <c r="I6" s="2" t="s">
        <v>191</v>
      </c>
      <c r="J6" s="1" t="str">
        <f>"mean sd="&amp;(I6/(I5-1))^0.5</f>
        <v>mean sd=0.1</v>
      </c>
      <c r="K6" s="1" t="str">
        <f>"std of sd="&amp;(I6^2/((I5-1)^2*(I5-2)))^0.5</f>
        <v>std of sd=0.100000000000001</v>
      </c>
    </row>
    <row r="7" spans="1:11" ht="15" customHeight="1" x14ac:dyDescent="0.2">
      <c r="A7" s="2" t="s">
        <v>22</v>
      </c>
      <c r="B7" s="2" t="s">
        <v>17</v>
      </c>
      <c r="C7" s="2" t="s">
        <v>250</v>
      </c>
      <c r="D7" s="2" t="s">
        <v>29</v>
      </c>
      <c r="E7" s="2">
        <v>1.2345679012345678</v>
      </c>
      <c r="F7" s="2"/>
      <c r="I7" s="2" t="s">
        <v>190</v>
      </c>
    </row>
    <row r="8" spans="1:11" ht="15" customHeight="1" x14ac:dyDescent="0.2">
      <c r="A8" s="2" t="s">
        <v>23</v>
      </c>
      <c r="B8" s="2" t="s">
        <v>17</v>
      </c>
      <c r="C8" s="2" t="s">
        <v>250</v>
      </c>
      <c r="D8" s="2" t="s">
        <v>29</v>
      </c>
      <c r="E8" s="2">
        <v>2.345679012345679E-3</v>
      </c>
      <c r="F8" s="2"/>
      <c r="I8" s="2" t="s">
        <v>191</v>
      </c>
      <c r="J8" s="1" t="str">
        <f>"mean sd="&amp;(I8/(I7-1))^0.5</f>
        <v>mean sd=0.1</v>
      </c>
      <c r="K8" s="1" t="str">
        <f>"std of sd="&amp;(I8^2/((I7-1)^2*(I7-2)))^0.5</f>
        <v>std of sd=0.100000000000001</v>
      </c>
    </row>
    <row r="9" spans="1:11" ht="15" customHeight="1" x14ac:dyDescent="0.2">
      <c r="A9" s="2" t="s">
        <v>234</v>
      </c>
      <c r="B9" s="2" t="s">
        <v>17</v>
      </c>
      <c r="C9" s="2" t="s">
        <v>250</v>
      </c>
      <c r="D9" s="2" t="s">
        <v>195</v>
      </c>
      <c r="F9" s="2"/>
      <c r="I9" s="2"/>
    </row>
    <row r="10" spans="1:11" ht="15" customHeight="1" x14ac:dyDescent="0.2">
      <c r="A10" s="2" t="s">
        <v>235</v>
      </c>
      <c r="B10" s="2" t="s">
        <v>196</v>
      </c>
      <c r="C10" s="2" t="s">
        <v>250</v>
      </c>
      <c r="D10" s="2" t="s">
        <v>239</v>
      </c>
      <c r="E10" s="2" t="s">
        <v>195</v>
      </c>
      <c r="I10" s="2"/>
    </row>
    <row r="11" spans="1:11" ht="15" customHeight="1" x14ac:dyDescent="0.2">
      <c r="A11" s="2" t="s">
        <v>237</v>
      </c>
      <c r="B11" s="2" t="s">
        <v>17</v>
      </c>
      <c r="C11" s="2" t="s">
        <v>250</v>
      </c>
      <c r="D11" s="2" t="s">
        <v>195</v>
      </c>
      <c r="I11" s="2"/>
    </row>
    <row r="12" spans="1:11" ht="15" customHeight="1" x14ac:dyDescent="0.2">
      <c r="A12" s="2" t="s">
        <v>236</v>
      </c>
      <c r="B12" s="2" t="s">
        <v>196</v>
      </c>
      <c r="C12" s="2" t="s">
        <v>250</v>
      </c>
      <c r="D12" s="2" t="s">
        <v>238</v>
      </c>
      <c r="E12" s="2" t="s">
        <v>195</v>
      </c>
      <c r="I12" s="2"/>
    </row>
    <row r="13" spans="1:11" ht="15" customHeight="1" x14ac:dyDescent="0.2">
      <c r="A13" s="2" t="s">
        <v>24</v>
      </c>
      <c r="B13" s="2" t="s">
        <v>17</v>
      </c>
      <c r="C13" s="2" t="s">
        <v>250</v>
      </c>
      <c r="D13" s="2" t="s">
        <v>30</v>
      </c>
      <c r="F13" s="2"/>
    </row>
    <row r="14" spans="1:11" ht="15" customHeight="1" x14ac:dyDescent="0.2">
      <c r="A14" s="2" t="s">
        <v>25</v>
      </c>
      <c r="B14" s="2" t="s">
        <v>17</v>
      </c>
      <c r="C14" s="2" t="s">
        <v>250</v>
      </c>
      <c r="D14" s="2" t="s">
        <v>31</v>
      </c>
    </row>
    <row r="15" spans="1:11" ht="15" customHeight="1" x14ac:dyDescent="0.2">
      <c r="A15" s="2" t="s">
        <v>26</v>
      </c>
      <c r="B15" s="2" t="s">
        <v>17</v>
      </c>
      <c r="C15" s="2" t="s">
        <v>250</v>
      </c>
      <c r="D15" s="2" t="s">
        <v>32</v>
      </c>
      <c r="F15" s="1" t="s">
        <v>54</v>
      </c>
    </row>
    <row r="16" spans="1:11" ht="15" customHeight="1" x14ac:dyDescent="0.2">
      <c r="A16" s="2" t="s">
        <v>27</v>
      </c>
      <c r="B16" s="2" t="s">
        <v>17</v>
      </c>
      <c r="C16" s="2" t="s">
        <v>250</v>
      </c>
      <c r="D16" s="2" t="s">
        <v>33</v>
      </c>
    </row>
    <row r="17" spans="1:6" ht="15" customHeight="1" x14ac:dyDescent="0.2">
      <c r="A17" s="2" t="s">
        <v>45</v>
      </c>
      <c r="B17" s="2" t="s">
        <v>48</v>
      </c>
      <c r="C17" s="2" t="s">
        <v>250</v>
      </c>
      <c r="D17" s="2" t="s">
        <v>60</v>
      </c>
    </row>
    <row r="18" spans="1:6" ht="15" customHeight="1" x14ac:dyDescent="0.2">
      <c r="A18" s="2" t="s">
        <v>49</v>
      </c>
      <c r="B18" s="2" t="s">
        <v>50</v>
      </c>
      <c r="C18" s="2" t="s">
        <v>250</v>
      </c>
      <c r="D18" s="2" t="s">
        <v>52</v>
      </c>
    </row>
    <row r="19" spans="1:6" ht="15" customHeight="1" x14ac:dyDescent="0.2">
      <c r="A19" s="2" t="s">
        <v>46</v>
      </c>
      <c r="B19" s="2" t="s">
        <v>48</v>
      </c>
      <c r="C19" s="2" t="s">
        <v>250</v>
      </c>
      <c r="D19" s="2" t="s">
        <v>47</v>
      </c>
      <c r="F19" s="2"/>
    </row>
    <row r="20" spans="1:6" ht="15" customHeight="1" x14ac:dyDescent="0.2">
      <c r="A20" s="2" t="s">
        <v>229</v>
      </c>
      <c r="B20" s="2" t="s">
        <v>48</v>
      </c>
      <c r="C20" s="2" t="s">
        <v>250</v>
      </c>
      <c r="D20" s="2" t="s">
        <v>47</v>
      </c>
      <c r="F20" s="2"/>
    </row>
    <row r="21" spans="1:6" ht="15" customHeight="1" x14ac:dyDescent="0.2">
      <c r="A21" s="2" t="s">
        <v>51</v>
      </c>
      <c r="B21" s="2" t="s">
        <v>48</v>
      </c>
      <c r="C21" s="2" t="s">
        <v>250</v>
      </c>
      <c r="D21" s="2" t="s">
        <v>499</v>
      </c>
    </row>
    <row r="22" spans="1:6" ht="15" customHeight="1" x14ac:dyDescent="0.2">
      <c r="A22" s="2" t="s">
        <v>498</v>
      </c>
      <c r="B22" s="2" t="s">
        <v>266</v>
      </c>
      <c r="C22" s="2" t="s">
        <v>250</v>
      </c>
      <c r="D22" s="2" t="s">
        <v>501</v>
      </c>
    </row>
    <row r="23" spans="1:6" ht="15" customHeight="1" x14ac:dyDescent="0.2">
      <c r="A23" s="2" t="s">
        <v>500</v>
      </c>
      <c r="B23" s="2" t="s">
        <v>17</v>
      </c>
      <c r="C23" s="2" t="s">
        <v>250</v>
      </c>
      <c r="D23" s="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623B-FDF3-5041-A14F-DD726D14C204}">
  <sheetPr codeName="Sheet9"/>
  <dimension ref="A1:P15"/>
  <sheetViews>
    <sheetView zoomScale="132" zoomScaleNormal="120" workbookViewId="0">
      <selection activeCell="E9" sqref="E9"/>
    </sheetView>
  </sheetViews>
  <sheetFormatPr baseColWidth="10" defaultColWidth="8.83203125" defaultRowHeight="15" customHeight="1" x14ac:dyDescent="0.2"/>
  <cols>
    <col min="1" max="1" width="24.83203125" style="2" customWidth="1"/>
    <col min="2" max="3" width="13" style="2" customWidth="1"/>
    <col min="4" max="4" width="53.5" style="2" customWidth="1"/>
    <col min="5" max="5" width="25.6640625" style="2" customWidth="1"/>
    <col min="6" max="16384" width="8.83203125" style="1"/>
  </cols>
  <sheetData>
    <row r="1" spans="1:1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6" ht="15" customHeight="1" x14ac:dyDescent="0.2">
      <c r="A2" s="2" t="s">
        <v>215</v>
      </c>
      <c r="B2" s="2" t="s">
        <v>36</v>
      </c>
      <c r="D2" s="2" t="s">
        <v>217</v>
      </c>
      <c r="E2" s="2" t="s">
        <v>217</v>
      </c>
      <c r="F2" s="2"/>
      <c r="G2" s="2"/>
    </row>
    <row r="3" spans="1:16" ht="15" customHeight="1" x14ac:dyDescent="0.2">
      <c r="A3" s="2" t="s">
        <v>171</v>
      </c>
      <c r="B3" s="2" t="s">
        <v>56</v>
      </c>
      <c r="D3" s="2" t="s">
        <v>575</v>
      </c>
      <c r="E3" s="2" t="s">
        <v>716</v>
      </c>
      <c r="F3" s="2"/>
      <c r="G3" s="2"/>
    </row>
    <row r="4" spans="1:16" ht="15" customHeight="1" x14ac:dyDescent="0.2">
      <c r="A4" s="2" t="s">
        <v>177</v>
      </c>
      <c r="B4" s="2" t="s">
        <v>152</v>
      </c>
      <c r="D4" s="2" t="s">
        <v>151</v>
      </c>
    </row>
    <row r="5" spans="1:16" ht="15" customHeight="1" x14ac:dyDescent="0.2">
      <c r="A5" s="2" t="s">
        <v>178</v>
      </c>
      <c r="B5" s="2" t="s">
        <v>153</v>
      </c>
      <c r="D5" s="2" t="s">
        <v>459</v>
      </c>
      <c r="F5" s="2"/>
    </row>
    <row r="6" spans="1:16" ht="15" customHeight="1" x14ac:dyDescent="0.2">
      <c r="A6" s="2" t="s">
        <v>174</v>
      </c>
      <c r="B6" s="2" t="s">
        <v>37</v>
      </c>
      <c r="D6" s="2" t="s">
        <v>433</v>
      </c>
      <c r="F6" s="2" t="s">
        <v>59</v>
      </c>
      <c r="G6" s="2" t="s">
        <v>433</v>
      </c>
      <c r="H6" s="2" t="s">
        <v>433</v>
      </c>
    </row>
    <row r="7" spans="1:16" ht="15" customHeight="1" x14ac:dyDescent="0.2">
      <c r="A7" s="2" t="s">
        <v>173</v>
      </c>
      <c r="B7" s="2" t="s">
        <v>37</v>
      </c>
      <c r="D7" s="2" t="s">
        <v>433</v>
      </c>
      <c r="F7" s="2" t="s">
        <v>59</v>
      </c>
      <c r="G7" s="2" t="s">
        <v>438</v>
      </c>
      <c r="H7" s="2" t="s">
        <v>433</v>
      </c>
    </row>
    <row r="8" spans="1:16" ht="15" customHeight="1" x14ac:dyDescent="0.2">
      <c r="A8" s="2" t="s">
        <v>172</v>
      </c>
      <c r="B8" s="2" t="s">
        <v>37</v>
      </c>
      <c r="D8" s="2" t="s">
        <v>41</v>
      </c>
      <c r="E8" s="2" t="s">
        <v>721</v>
      </c>
      <c r="K8" s="2"/>
    </row>
    <row r="9" spans="1:16" ht="15" customHeight="1" x14ac:dyDescent="0.2">
      <c r="A9" s="2" t="s">
        <v>176</v>
      </c>
      <c r="B9" s="2" t="s">
        <v>36</v>
      </c>
      <c r="D9" s="10" t="str">
        <f>IF(global!E2&lt;&gt;"",global!E2,global!D2)</f>
        <v>:testpriorsq</v>
      </c>
      <c r="F9" s="2" t="s">
        <v>464</v>
      </c>
      <c r="G9" s="2" t="s">
        <v>495</v>
      </c>
      <c r="K9" s="2"/>
    </row>
    <row r="10" spans="1:16" s="2" customFormat="1" ht="15" customHeight="1" x14ac:dyDescent="0.2">
      <c r="A10" s="2" t="s">
        <v>175</v>
      </c>
      <c r="B10" s="2" t="s">
        <v>64</v>
      </c>
      <c r="D10" s="2" t="s">
        <v>75</v>
      </c>
      <c r="F10" s="1"/>
      <c r="G10" s="1"/>
    </row>
    <row r="11" spans="1:16" s="2" customFormat="1" ht="15" customHeight="1" x14ac:dyDescent="0.2">
      <c r="A11" s="2" t="s">
        <v>553</v>
      </c>
      <c r="B11" s="2" t="s">
        <v>551</v>
      </c>
      <c r="D11" s="2" t="s">
        <v>552</v>
      </c>
      <c r="F11" s="1"/>
      <c r="G11" s="1"/>
    </row>
    <row r="12" spans="1:16" ht="15" customHeight="1" x14ac:dyDescent="0.2">
      <c r="A12" s="2" t="s">
        <v>150</v>
      </c>
      <c r="B12" s="2" t="s">
        <v>0</v>
      </c>
      <c r="D12" s="2" t="s">
        <v>189</v>
      </c>
      <c r="F12" s="2" t="s">
        <v>515</v>
      </c>
      <c r="G12" s="2" t="s">
        <v>432</v>
      </c>
      <c r="H12" s="2" t="s">
        <v>548</v>
      </c>
      <c r="I12" s="2" t="s">
        <v>432</v>
      </c>
      <c r="J12" s="1" t="s">
        <v>606</v>
      </c>
      <c r="K12" s="1" t="s">
        <v>612</v>
      </c>
      <c r="L12" s="2" t="s">
        <v>707</v>
      </c>
      <c r="M12" s="2" t="s">
        <v>709</v>
      </c>
      <c r="N12" s="2" t="s">
        <v>710</v>
      </c>
      <c r="O12" s="2" t="s">
        <v>709</v>
      </c>
    </row>
    <row r="13" spans="1:16" ht="15" customHeight="1" x14ac:dyDescent="0.2">
      <c r="A13" s="2" t="s">
        <v>149</v>
      </c>
      <c r="B13" s="2" t="s">
        <v>0</v>
      </c>
      <c r="D13" s="2" t="s">
        <v>283</v>
      </c>
      <c r="E13" s="2" t="s">
        <v>709</v>
      </c>
      <c r="F13" s="2" t="s">
        <v>432</v>
      </c>
      <c r="G13" s="2" t="s">
        <v>198</v>
      </c>
      <c r="H13" s="2" t="s">
        <v>202</v>
      </c>
      <c r="I13" s="2" t="s">
        <v>188</v>
      </c>
      <c r="J13" s="2" t="s">
        <v>261</v>
      </c>
      <c r="K13" s="2" t="s">
        <v>283</v>
      </c>
      <c r="L13" s="2" t="s">
        <v>435</v>
      </c>
      <c r="M13" s="2" t="s">
        <v>283</v>
      </c>
      <c r="N13" s="2" t="s">
        <v>432</v>
      </c>
      <c r="O13" s="2" t="s">
        <v>490</v>
      </c>
      <c r="P13" s="2" t="s">
        <v>493</v>
      </c>
    </row>
    <row r="14" spans="1:16" ht="15" customHeight="1" x14ac:dyDescent="0.2">
      <c r="A14" s="2" t="s">
        <v>244</v>
      </c>
      <c r="B14" s="2" t="s">
        <v>36</v>
      </c>
      <c r="D14" s="2" t="s">
        <v>253</v>
      </c>
      <c r="K14" s="2" t="s">
        <v>253</v>
      </c>
    </row>
    <row r="15" spans="1:16" ht="15" customHeight="1" x14ac:dyDescent="0.2">
      <c r="A15" s="2" t="s">
        <v>245</v>
      </c>
      <c r="B15" s="2" t="s">
        <v>37</v>
      </c>
      <c r="D15" s="10">
        <f>MIN((IF(E6&lt;&gt;"",E6,D6)+IF(E7&lt;&gt;"",E7,D7))*10,500000)</f>
        <v>400000</v>
      </c>
      <c r="F15" s="1">
        <v>2000</v>
      </c>
      <c r="K15" s="2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59D3-A264-3249-801C-5C9119097AE5}">
  <sheetPr codeName="Sheet8"/>
  <dimension ref="A1:G13"/>
  <sheetViews>
    <sheetView zoomScale="120" zoomScaleNormal="120" workbookViewId="0">
      <selection activeCell="A4" sqref="A4"/>
    </sheetView>
  </sheetViews>
  <sheetFormatPr baseColWidth="10" defaultColWidth="8.83203125" defaultRowHeight="15" customHeight="1" x14ac:dyDescent="0.2"/>
  <cols>
    <col min="1" max="1" width="24.83203125" style="2" customWidth="1"/>
    <col min="2" max="3" width="13" style="2" customWidth="1"/>
    <col min="4" max="4" width="97.33203125" style="2" customWidth="1"/>
    <col min="5" max="5" width="8.83203125" style="2"/>
    <col min="6" max="16384" width="8.83203125" style="1"/>
  </cols>
  <sheetData>
    <row r="1" spans="1:7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7" ht="15" customHeight="1" x14ac:dyDescent="0.2">
      <c r="A2" s="2" t="s">
        <v>243</v>
      </c>
      <c r="B2" s="2" t="s">
        <v>37</v>
      </c>
      <c r="D2" s="2" t="s">
        <v>249</v>
      </c>
    </row>
    <row r="3" spans="1:7" ht="15" customHeight="1" x14ac:dyDescent="0.2">
      <c r="A3" s="2" t="s">
        <v>255</v>
      </c>
      <c r="B3" s="2" t="s">
        <v>56</v>
      </c>
      <c r="D3" s="2" t="s">
        <v>263</v>
      </c>
      <c r="F3" s="2"/>
      <c r="G3" s="2"/>
    </row>
    <row r="4" spans="1:7" ht="15" customHeight="1" x14ac:dyDescent="0.2">
      <c r="A4" s="2" t="s">
        <v>594</v>
      </c>
      <c r="B4" s="2" t="s">
        <v>64</v>
      </c>
      <c r="D4" s="2" t="s">
        <v>65</v>
      </c>
    </row>
    <row r="5" spans="1:7" ht="15" customHeight="1" x14ac:dyDescent="0.2">
      <c r="A5" s="2" t="s">
        <v>254</v>
      </c>
      <c r="B5" s="2" t="s">
        <v>37</v>
      </c>
      <c r="D5" s="2" t="s">
        <v>126</v>
      </c>
    </row>
    <row r="6" spans="1:7" ht="15" customHeight="1" x14ac:dyDescent="0.2">
      <c r="A6" s="2" t="s">
        <v>259</v>
      </c>
      <c r="B6" s="2" t="s">
        <v>37</v>
      </c>
      <c r="D6" s="2" t="s">
        <v>38</v>
      </c>
    </row>
    <row r="7" spans="1:7" ht="15" customHeight="1" x14ac:dyDescent="0.2">
      <c r="A7" s="2" t="s">
        <v>260</v>
      </c>
      <c r="B7" s="2" t="s">
        <v>17</v>
      </c>
      <c r="D7" s="2" t="s">
        <v>264</v>
      </c>
    </row>
    <row r="8" spans="1:7" ht="15" customHeight="1" x14ac:dyDescent="0.2">
      <c r="A8" s="2" t="s">
        <v>272</v>
      </c>
      <c r="B8" s="2" t="s">
        <v>17</v>
      </c>
      <c r="D8" s="2" t="s">
        <v>74</v>
      </c>
      <c r="E8" s="2" t="s">
        <v>258</v>
      </c>
    </row>
    <row r="9" spans="1:7" ht="15" customHeight="1" x14ac:dyDescent="0.2">
      <c r="A9" s="2" t="s">
        <v>273</v>
      </c>
      <c r="B9" s="2" t="s">
        <v>17</v>
      </c>
      <c r="D9" s="2" t="s">
        <v>29</v>
      </c>
      <c r="F9" s="1" t="s">
        <v>257</v>
      </c>
    </row>
    <row r="10" spans="1:7" ht="15" customHeight="1" x14ac:dyDescent="0.2">
      <c r="A10" s="2" t="s">
        <v>274</v>
      </c>
      <c r="B10" s="2" t="s">
        <v>36</v>
      </c>
      <c r="D10" s="2" t="s">
        <v>256</v>
      </c>
      <c r="F10" s="1" t="s">
        <v>275</v>
      </c>
    </row>
    <row r="11" spans="1:7" ht="15" customHeight="1" x14ac:dyDescent="0.2">
      <c r="A11" s="2" t="s">
        <v>276</v>
      </c>
      <c r="B11" s="2" t="s">
        <v>17</v>
      </c>
      <c r="D11" s="2" t="s">
        <v>279</v>
      </c>
    </row>
    <row r="12" spans="1:7" ht="15" customHeight="1" x14ac:dyDescent="0.2">
      <c r="A12" s="2" t="s">
        <v>277</v>
      </c>
      <c r="B12" s="2" t="s">
        <v>17</v>
      </c>
      <c r="D12" s="2" t="s">
        <v>278</v>
      </c>
    </row>
    <row r="13" spans="1:7" ht="15" customHeight="1" x14ac:dyDescent="0.2">
      <c r="A13" s="2" t="s">
        <v>440</v>
      </c>
      <c r="B13" s="2" t="s">
        <v>441</v>
      </c>
      <c r="D13" s="2" t="s">
        <v>442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155D-FB84-074A-BA4D-1C34905AD9BD}">
  <sheetPr codeName="Sheet10"/>
  <dimension ref="A1:F14"/>
  <sheetViews>
    <sheetView zoomScale="130" zoomScaleNormal="130" workbookViewId="0">
      <selection activeCell="E2" sqref="E2"/>
    </sheetView>
  </sheetViews>
  <sheetFormatPr baseColWidth="10" defaultColWidth="8.83203125" defaultRowHeight="15" customHeight="1" x14ac:dyDescent="0.2"/>
  <cols>
    <col min="1" max="1" width="31.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16384" width="8.83203125" style="1"/>
  </cols>
  <sheetData>
    <row r="1" spans="1: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6" ht="15" customHeight="1" x14ac:dyDescent="0.2">
      <c r="A2" s="2" t="s">
        <v>111</v>
      </c>
      <c r="B2" s="2" t="s">
        <v>0</v>
      </c>
      <c r="C2" s="1"/>
      <c r="D2" s="2" t="s">
        <v>187</v>
      </c>
    </row>
    <row r="3" spans="1:6" ht="15" customHeight="1" x14ac:dyDescent="0.2">
      <c r="A3" s="2" t="s">
        <v>107</v>
      </c>
      <c r="B3" s="2" t="s">
        <v>0</v>
      </c>
      <c r="C3" s="1"/>
      <c r="D3" s="10" t="str">
        <f>IF(E2&lt;&gt;"",E2,D2)&amp;"_proc"</f>
        <v>ipi_observables_proc</v>
      </c>
      <c r="E3" s="10"/>
    </row>
    <row r="4" spans="1:6" ht="15" customHeight="1" x14ac:dyDescent="0.2">
      <c r="A4" s="2" t="s">
        <v>109</v>
      </c>
      <c r="B4" s="2" t="s">
        <v>64</v>
      </c>
      <c r="C4" s="1"/>
      <c r="D4" s="2" t="s">
        <v>65</v>
      </c>
      <c r="E4" s="2" t="s">
        <v>75</v>
      </c>
    </row>
    <row r="5" spans="1:6" ht="15" customHeight="1" x14ac:dyDescent="0.2">
      <c r="A5" s="2" t="s">
        <v>110</v>
      </c>
      <c r="B5" s="2" t="s">
        <v>85</v>
      </c>
      <c r="C5" s="1"/>
      <c r="D5" s="2" t="s">
        <v>186</v>
      </c>
    </row>
    <row r="6" spans="1:6" ht="15" customHeight="1" x14ac:dyDescent="0.2">
      <c r="A6" s="2" t="s">
        <v>101</v>
      </c>
      <c r="B6" s="2" t="s">
        <v>93</v>
      </c>
      <c r="C6" s="1"/>
      <c r="D6" s="2" t="s">
        <v>94</v>
      </c>
    </row>
    <row r="7" spans="1:6" ht="15" customHeight="1" x14ac:dyDescent="0.2">
      <c r="A7" s="2" t="s">
        <v>102</v>
      </c>
      <c r="B7" s="2" t="s">
        <v>93</v>
      </c>
      <c r="C7" s="1"/>
      <c r="D7" s="2" t="s">
        <v>95</v>
      </c>
    </row>
    <row r="8" spans="1:6" ht="15" customHeight="1" x14ac:dyDescent="0.2">
      <c r="A8" s="2" t="s">
        <v>103</v>
      </c>
      <c r="B8" s="2" t="s">
        <v>64</v>
      </c>
      <c r="C8" s="1"/>
      <c r="D8" s="2" t="s">
        <v>65</v>
      </c>
    </row>
    <row r="9" spans="1:6" ht="15" customHeight="1" x14ac:dyDescent="0.2">
      <c r="A9" s="2" t="s">
        <v>104</v>
      </c>
      <c r="B9" s="2" t="s">
        <v>36</v>
      </c>
      <c r="C9" s="1"/>
      <c r="D9" s="2" t="s">
        <v>523</v>
      </c>
    </row>
    <row r="10" spans="1:6" ht="15" customHeight="1" x14ac:dyDescent="0.2">
      <c r="A10" s="2" t="s">
        <v>105</v>
      </c>
      <c r="B10" s="2" t="s">
        <v>96</v>
      </c>
      <c r="C10" s="1"/>
      <c r="D10" s="9" t="s">
        <v>97</v>
      </c>
      <c r="E10" s="2" t="s">
        <v>146</v>
      </c>
    </row>
    <row r="11" spans="1:6" ht="15" customHeight="1" x14ac:dyDescent="0.2">
      <c r="A11" s="2" t="s">
        <v>106</v>
      </c>
      <c r="B11" s="2" t="s">
        <v>98</v>
      </c>
      <c r="C11" s="1"/>
      <c r="D11" s="2" t="s">
        <v>99</v>
      </c>
    </row>
    <row r="12" spans="1:6" ht="15" customHeight="1" x14ac:dyDescent="0.2">
      <c r="A12" s="2" t="s">
        <v>108</v>
      </c>
      <c r="B12" s="2" t="s">
        <v>100</v>
      </c>
      <c r="C12" s="1"/>
      <c r="D12" s="2" t="s">
        <v>65</v>
      </c>
    </row>
    <row r="13" spans="1:6" ht="15" customHeight="1" x14ac:dyDescent="0.2">
      <c r="A13" s="2" t="s">
        <v>113</v>
      </c>
      <c r="B13" s="2" t="s">
        <v>36</v>
      </c>
      <c r="D13" s="2" t="s">
        <v>114</v>
      </c>
    </row>
    <row r="14" spans="1:6" ht="15" customHeight="1" x14ac:dyDescent="0.2">
      <c r="A14" s="2" t="s">
        <v>135</v>
      </c>
      <c r="B14" s="2" t="s">
        <v>134</v>
      </c>
      <c r="D14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41C4-8084-834A-A5E4-997DDF5324E0}">
  <sheetPr codeName="Sheet11"/>
  <dimension ref="A1:P13"/>
  <sheetViews>
    <sheetView zoomScale="126" zoomScaleNormal="130" workbookViewId="0">
      <selection activeCell="E12" sqref="E12"/>
    </sheetView>
  </sheetViews>
  <sheetFormatPr baseColWidth="10" defaultColWidth="8.83203125" defaultRowHeight="15" customHeight="1" x14ac:dyDescent="0.2"/>
  <cols>
    <col min="1" max="1" width="31.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16384" width="8.83203125" style="1"/>
  </cols>
  <sheetData>
    <row r="1" spans="1:1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6" ht="15" customHeight="1" x14ac:dyDescent="0.2">
      <c r="A2" s="2" t="s">
        <v>115</v>
      </c>
      <c r="B2" s="2" t="s">
        <v>0</v>
      </c>
      <c r="C2" s="1"/>
      <c r="D2" s="2" t="s">
        <v>434</v>
      </c>
      <c r="E2" s="2" t="s">
        <v>718</v>
      </c>
      <c r="G2" s="2" t="s">
        <v>197</v>
      </c>
      <c r="H2" s="2" t="s">
        <v>201</v>
      </c>
      <c r="I2" s="2" t="s">
        <v>220</v>
      </c>
      <c r="J2" s="2" t="s">
        <v>262</v>
      </c>
      <c r="K2" s="2" t="s">
        <v>443</v>
      </c>
      <c r="L2" s="2" t="s">
        <v>489</v>
      </c>
      <c r="M2" s="2" t="s">
        <v>503</v>
      </c>
      <c r="N2" s="2" t="s">
        <v>589</v>
      </c>
      <c r="O2" s="2" t="s">
        <v>676</v>
      </c>
      <c r="P2" s="2" t="s">
        <v>697</v>
      </c>
    </row>
    <row r="3" spans="1:16" ht="15" customHeight="1" x14ac:dyDescent="0.2">
      <c r="A3" s="2" t="s">
        <v>145</v>
      </c>
      <c r="B3" s="2" t="s">
        <v>0</v>
      </c>
      <c r="C3" s="1"/>
      <c r="D3" s="10" t="str">
        <f>IF(E2&lt;&gt;"",E2,D2)&amp;"_proc"</f>
        <v>architect627_q_proc</v>
      </c>
      <c r="E3" s="10"/>
    </row>
    <row r="4" spans="1:16" ht="15" customHeight="1" x14ac:dyDescent="0.2">
      <c r="A4" s="2" t="s">
        <v>136</v>
      </c>
      <c r="B4" s="2" t="s">
        <v>64</v>
      </c>
      <c r="C4" s="1"/>
      <c r="D4" s="2" t="s">
        <v>65</v>
      </c>
      <c r="E4" s="2" t="s">
        <v>75</v>
      </c>
    </row>
    <row r="5" spans="1:16" ht="15" customHeight="1" x14ac:dyDescent="0.2">
      <c r="A5" s="2" t="s">
        <v>137</v>
      </c>
      <c r="B5" s="2" t="s">
        <v>85</v>
      </c>
      <c r="C5" s="1"/>
      <c r="D5" s="2" t="s">
        <v>186</v>
      </c>
    </row>
    <row r="6" spans="1:16" ht="15" customHeight="1" x14ac:dyDescent="0.2">
      <c r="A6" s="2" t="s">
        <v>140</v>
      </c>
      <c r="B6" s="2" t="s">
        <v>93</v>
      </c>
      <c r="C6" s="1"/>
      <c r="D6" s="2" t="s">
        <v>94</v>
      </c>
    </row>
    <row r="7" spans="1:16" ht="15" customHeight="1" x14ac:dyDescent="0.2">
      <c r="A7" s="2" t="s">
        <v>141</v>
      </c>
      <c r="B7" s="2" t="s">
        <v>93</v>
      </c>
      <c r="C7" s="1"/>
      <c r="D7" s="2" t="s">
        <v>95</v>
      </c>
    </row>
    <row r="8" spans="1:16" ht="15" customHeight="1" x14ac:dyDescent="0.2">
      <c r="A8" s="2" t="s">
        <v>142</v>
      </c>
      <c r="B8" s="2" t="s">
        <v>64</v>
      </c>
      <c r="C8" s="1"/>
      <c r="D8" s="2" t="s">
        <v>75</v>
      </c>
    </row>
    <row r="9" spans="1:16" ht="15" customHeight="1" x14ac:dyDescent="0.2">
      <c r="A9" s="2" t="s">
        <v>143</v>
      </c>
      <c r="B9" s="2" t="s">
        <v>96</v>
      </c>
      <c r="C9" s="1"/>
      <c r="D9" s="9" t="s">
        <v>146</v>
      </c>
    </row>
    <row r="10" spans="1:16" ht="15" customHeight="1" x14ac:dyDescent="0.2">
      <c r="A10" s="2" t="s">
        <v>144</v>
      </c>
      <c r="B10" s="2" t="s">
        <v>98</v>
      </c>
      <c r="C10" s="1"/>
      <c r="D10" s="2" t="s">
        <v>99</v>
      </c>
    </row>
    <row r="11" spans="1:16" ht="15" customHeight="1" x14ac:dyDescent="0.2">
      <c r="A11" s="2" t="s">
        <v>138</v>
      </c>
      <c r="B11" s="2" t="s">
        <v>36</v>
      </c>
      <c r="D11" s="2" t="s">
        <v>114</v>
      </c>
      <c r="E11" s="2" t="s">
        <v>715</v>
      </c>
      <c r="F11" s="2"/>
      <c r="G11" s="2"/>
    </row>
    <row r="12" spans="1:16" ht="15" customHeight="1" x14ac:dyDescent="0.2">
      <c r="A12" s="2" t="s">
        <v>139</v>
      </c>
      <c r="B12" s="2" t="s">
        <v>134</v>
      </c>
      <c r="D12" s="2" t="s">
        <v>65</v>
      </c>
    </row>
    <row r="13" spans="1:16" ht="15" customHeight="1" x14ac:dyDescent="0.2">
      <c r="A13" s="2" t="s">
        <v>147</v>
      </c>
      <c r="B13" s="2" t="s">
        <v>148</v>
      </c>
      <c r="D13" s="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FB8A-1F80-F441-BF07-319283AFD015}">
  <sheetPr codeName="Sheet6"/>
  <dimension ref="A1:F10"/>
  <sheetViews>
    <sheetView zoomScale="178" workbookViewId="0">
      <selection activeCell="E10" sqref="E10"/>
    </sheetView>
  </sheetViews>
  <sheetFormatPr baseColWidth="10" defaultColWidth="8.83203125" defaultRowHeight="15" customHeight="1" x14ac:dyDescent="0.2"/>
  <cols>
    <col min="1" max="1" width="31.5" style="2" customWidth="1"/>
    <col min="2" max="2" width="26.6640625" style="2" customWidth="1"/>
    <col min="3" max="3" width="13" style="2" customWidth="1"/>
    <col min="4" max="4" width="32.83203125" style="2" customWidth="1"/>
    <col min="5" max="5" width="8.83203125" style="2"/>
    <col min="6" max="16384" width="8.83203125" style="1"/>
  </cols>
  <sheetData>
    <row r="1" spans="1: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6" ht="15" customHeight="1" x14ac:dyDescent="0.2">
      <c r="A2" s="2" t="s">
        <v>70</v>
      </c>
      <c r="B2" s="2" t="s">
        <v>66</v>
      </c>
      <c r="D2" s="2" t="s">
        <v>59</v>
      </c>
    </row>
    <row r="3" spans="1:6" ht="15" customHeight="1" x14ac:dyDescent="0.2">
      <c r="A3" s="2" t="s">
        <v>72</v>
      </c>
      <c r="B3" s="2" t="s">
        <v>37</v>
      </c>
      <c r="D3" s="2" t="s">
        <v>74</v>
      </c>
    </row>
    <row r="4" spans="1:6" ht="15" customHeight="1" x14ac:dyDescent="0.2">
      <c r="A4" s="2" t="s">
        <v>73</v>
      </c>
      <c r="B4" s="2" t="s">
        <v>37</v>
      </c>
      <c r="D4" s="2" t="s">
        <v>59</v>
      </c>
    </row>
    <row r="5" spans="1:6" ht="15" customHeight="1" x14ac:dyDescent="0.2">
      <c r="A5" s="2" t="s">
        <v>67</v>
      </c>
      <c r="B5" s="2" t="s">
        <v>17</v>
      </c>
      <c r="D5" s="2" t="s">
        <v>71</v>
      </c>
    </row>
    <row r="6" spans="1:6" ht="15" customHeight="1" x14ac:dyDescent="0.2">
      <c r="A6" s="2" t="s">
        <v>251</v>
      </c>
      <c r="B6" s="2" t="s">
        <v>17</v>
      </c>
      <c r="D6" s="2" t="s">
        <v>252</v>
      </c>
    </row>
    <row r="7" spans="1:6" ht="15" customHeight="1" x14ac:dyDescent="0.2">
      <c r="A7" s="2" t="s">
        <v>76</v>
      </c>
      <c r="B7" s="2" t="s">
        <v>64</v>
      </c>
      <c r="D7" s="2" t="s">
        <v>75</v>
      </c>
      <c r="F7" s="1" t="s">
        <v>451</v>
      </c>
    </row>
    <row r="8" spans="1:6" ht="15" customHeight="1" x14ac:dyDescent="0.2">
      <c r="A8" s="2" t="s">
        <v>199</v>
      </c>
      <c r="B8" s="2" t="s">
        <v>37</v>
      </c>
      <c r="D8" s="2" t="s">
        <v>200</v>
      </c>
    </row>
    <row r="9" spans="1:6" ht="15" customHeight="1" x14ac:dyDescent="0.2">
      <c r="A9" s="2" t="s">
        <v>448</v>
      </c>
      <c r="B9" s="2" t="s">
        <v>36</v>
      </c>
      <c r="D9" s="2" t="s">
        <v>449</v>
      </c>
      <c r="F9" s="1" t="s">
        <v>450</v>
      </c>
    </row>
    <row r="10" spans="1:6" ht="15" customHeight="1" x14ac:dyDescent="0.2">
      <c r="A10" s="2" t="s">
        <v>632</v>
      </c>
      <c r="B10" s="2" t="s">
        <v>64</v>
      </c>
      <c r="D10" s="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2DEB-E6AA-B845-B727-D49FC41FCB8C}">
  <sheetPr codeName="Sheet1"/>
  <dimension ref="A1:S36"/>
  <sheetViews>
    <sheetView zoomScale="176" zoomScaleNormal="176" workbookViewId="0">
      <pane xSplit="1" ySplit="1" topLeftCell="C7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ColWidth="8.83203125" defaultRowHeight="15" customHeight="1" x14ac:dyDescent="0.2"/>
  <cols>
    <col min="1" max="1" width="24.83203125" style="2" customWidth="1"/>
    <col min="2" max="2" width="26.6640625" style="2" customWidth="1"/>
    <col min="3" max="3" width="4.33203125" style="2" customWidth="1"/>
    <col min="4" max="4" width="32.83203125" style="2" customWidth="1"/>
    <col min="5" max="5" width="8.83203125" style="2"/>
    <col min="6" max="15" width="5.1640625" style="1" customWidth="1"/>
    <col min="16" max="16384" width="8.83203125" style="1"/>
  </cols>
  <sheetData>
    <row r="1" spans="1:19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19" ht="15" customHeight="1" x14ac:dyDescent="0.2">
      <c r="A2" s="2" t="s">
        <v>61</v>
      </c>
      <c r="B2" s="2" t="s">
        <v>0</v>
      </c>
      <c r="D2" s="2" t="s">
        <v>192</v>
      </c>
    </row>
    <row r="3" spans="1:19" ht="15" customHeight="1" x14ac:dyDescent="0.2">
      <c r="A3" s="2" t="s">
        <v>271</v>
      </c>
      <c r="B3" s="2" t="s">
        <v>0</v>
      </c>
      <c r="D3" s="2" t="s">
        <v>714</v>
      </c>
    </row>
    <row r="4" spans="1:19" ht="15" customHeight="1" x14ac:dyDescent="0.2">
      <c r="A4" s="2" t="s">
        <v>62</v>
      </c>
      <c r="B4" s="2" t="s">
        <v>0</v>
      </c>
      <c r="D4" s="2" t="s">
        <v>63</v>
      </c>
    </row>
    <row r="5" spans="1:19" ht="15" customHeight="1" x14ac:dyDescent="0.2">
      <c r="A5" s="2" t="s">
        <v>68</v>
      </c>
      <c r="B5" s="2" t="s">
        <v>69</v>
      </c>
      <c r="D5" s="2" t="s">
        <v>486</v>
      </c>
    </row>
    <row r="6" spans="1:19" ht="15" customHeight="1" x14ac:dyDescent="0.2">
      <c r="A6" s="2" t="s">
        <v>180</v>
      </c>
      <c r="B6" s="2" t="s">
        <v>64</v>
      </c>
      <c r="D6" s="2" t="s">
        <v>75</v>
      </c>
    </row>
    <row r="7" spans="1:19" ht="15" customHeight="1" x14ac:dyDescent="0.2">
      <c r="A7" s="2" t="s">
        <v>86</v>
      </c>
      <c r="B7" s="2" t="s">
        <v>80</v>
      </c>
      <c r="D7" s="9" t="s">
        <v>133</v>
      </c>
    </row>
    <row r="8" spans="1:19" ht="15" customHeight="1" x14ac:dyDescent="0.2">
      <c r="A8" s="2" t="s">
        <v>82</v>
      </c>
      <c r="B8" s="2" t="s">
        <v>81</v>
      </c>
      <c r="D8" s="2" t="s">
        <v>482</v>
      </c>
      <c r="F8" s="1" t="s">
        <v>83</v>
      </c>
      <c r="G8" s="2" t="s">
        <v>242</v>
      </c>
    </row>
    <row r="9" spans="1:19" ht="15" customHeight="1" x14ac:dyDescent="0.2">
      <c r="A9" s="2" t="s">
        <v>87</v>
      </c>
      <c r="B9" s="2" t="s">
        <v>88</v>
      </c>
      <c r="D9" s="2" t="s">
        <v>241</v>
      </c>
    </row>
    <row r="10" spans="1:19" ht="15" customHeight="1" x14ac:dyDescent="0.2">
      <c r="A10" s="2" t="s">
        <v>89</v>
      </c>
      <c r="B10" s="2" t="s">
        <v>56</v>
      </c>
      <c r="D10" s="9" t="s">
        <v>91</v>
      </c>
    </row>
    <row r="11" spans="1:19" ht="15" customHeight="1" x14ac:dyDescent="0.2">
      <c r="A11" s="2" t="s">
        <v>129</v>
      </c>
      <c r="B11" s="2" t="s">
        <v>64</v>
      </c>
      <c r="D11" s="2" t="s">
        <v>75</v>
      </c>
      <c r="F11" s="1" t="s">
        <v>607</v>
      </c>
      <c r="G11" s="1" t="s">
        <v>549</v>
      </c>
      <c r="H11" s="1" t="s">
        <v>565</v>
      </c>
      <c r="I11" s="7" t="s">
        <v>608</v>
      </c>
      <c r="J11" s="7" t="s">
        <v>609</v>
      </c>
      <c r="K11" s="2" t="s">
        <v>619</v>
      </c>
      <c r="L11" s="1" t="s">
        <v>634</v>
      </c>
      <c r="M11" s="1" t="s">
        <v>660</v>
      </c>
      <c r="N11" s="1" t="s">
        <v>667</v>
      </c>
      <c r="O11" s="1" t="s">
        <v>671</v>
      </c>
      <c r="P11" s="1" t="s">
        <v>675</v>
      </c>
      <c r="Q11" s="1" t="s">
        <v>708</v>
      </c>
      <c r="R11" s="1" t="s">
        <v>712</v>
      </c>
      <c r="S11" s="1" t="s">
        <v>719</v>
      </c>
    </row>
    <row r="12" spans="1:19" ht="15" customHeight="1" x14ac:dyDescent="0.2">
      <c r="A12" s="2" t="s">
        <v>179</v>
      </c>
      <c r="B12" s="2" t="s">
        <v>64</v>
      </c>
      <c r="D12" s="2" t="s">
        <v>75</v>
      </c>
      <c r="F12" s="2" t="s">
        <v>491</v>
      </c>
      <c r="G12" s="2" t="s">
        <v>492</v>
      </c>
      <c r="H12" s="1" t="s">
        <v>549</v>
      </c>
      <c r="I12" s="2" t="s">
        <v>492</v>
      </c>
      <c r="J12" s="2" t="s">
        <v>510</v>
      </c>
      <c r="K12" s="1" t="s">
        <v>521</v>
      </c>
      <c r="N12" s="1" t="s">
        <v>505</v>
      </c>
      <c r="O12" s="2" t="s">
        <v>511</v>
      </c>
    </row>
    <row r="13" spans="1:19" ht="15" customHeight="1" x14ac:dyDescent="0.2">
      <c r="A13" s="2" t="s">
        <v>181</v>
      </c>
      <c r="B13" s="2" t="s">
        <v>182</v>
      </c>
      <c r="D13" s="2" t="s">
        <v>151</v>
      </c>
      <c r="E13" s="1" t="s">
        <v>722</v>
      </c>
      <c r="F13" s="2" t="s">
        <v>504</v>
      </c>
      <c r="G13" s="2" t="s">
        <v>633</v>
      </c>
      <c r="H13" s="2" t="s">
        <v>504</v>
      </c>
      <c r="I13" s="2" t="s">
        <v>222</v>
      </c>
      <c r="J13" s="1" t="s">
        <v>282</v>
      </c>
      <c r="K13" s="2" t="s">
        <v>222</v>
      </c>
      <c r="L13" s="2" t="s">
        <v>431</v>
      </c>
      <c r="M13" s="2" t="s">
        <v>436</v>
      </c>
      <c r="N13" s="2" t="s">
        <v>437</v>
      </c>
      <c r="O13" s="2" t="s">
        <v>439</v>
      </c>
      <c r="P13" s="1" t="s">
        <v>473</v>
      </c>
      <c r="Q13" s="1" t="s">
        <v>475</v>
      </c>
      <c r="R13" s="1" t="s">
        <v>476</v>
      </c>
      <c r="S13" s="2" t="s">
        <v>481</v>
      </c>
    </row>
    <row r="14" spans="1:19" ht="15" customHeight="1" x14ac:dyDescent="0.2">
      <c r="A14" s="2" t="s">
        <v>183</v>
      </c>
      <c r="B14" s="2" t="s">
        <v>0</v>
      </c>
      <c r="D14" s="2" t="s">
        <v>184</v>
      </c>
      <c r="E14" s="1"/>
    </row>
    <row r="15" spans="1:19" ht="15" customHeight="1" x14ac:dyDescent="0.2">
      <c r="A15" s="2" t="s">
        <v>185</v>
      </c>
      <c r="B15" s="2" t="s">
        <v>56</v>
      </c>
      <c r="D15" s="2" t="s">
        <v>574</v>
      </c>
      <c r="E15" s="2" t="s">
        <v>578</v>
      </c>
    </row>
    <row r="16" spans="1:19" ht="15" customHeight="1" x14ac:dyDescent="0.2">
      <c r="A16" s="2" t="s">
        <v>556</v>
      </c>
      <c r="B16" s="2" t="s">
        <v>56</v>
      </c>
      <c r="D16" s="2" t="s">
        <v>558</v>
      </c>
      <c r="E16" s="2" t="s">
        <v>580</v>
      </c>
      <c r="F16" s="1" t="s">
        <v>559</v>
      </c>
      <c r="K16" s="2"/>
    </row>
    <row r="17" spans="1:11" ht="15" customHeight="1" x14ac:dyDescent="0.2">
      <c r="A17" s="2" t="s">
        <v>522</v>
      </c>
      <c r="B17" s="2" t="s">
        <v>64</v>
      </c>
      <c r="D17" s="2" t="s">
        <v>75</v>
      </c>
    </row>
    <row r="18" spans="1:11" ht="15" customHeight="1" x14ac:dyDescent="0.2">
      <c r="A18" s="2" t="s">
        <v>562</v>
      </c>
      <c r="B18" s="2" t="s">
        <v>56</v>
      </c>
      <c r="D18" s="2" t="s">
        <v>659</v>
      </c>
    </row>
    <row r="19" spans="1:11" ht="15" customHeight="1" x14ac:dyDescent="0.2">
      <c r="A19" s="2" t="s">
        <v>563</v>
      </c>
      <c r="B19" s="2" t="s">
        <v>56</v>
      </c>
      <c r="D19" s="2" t="s">
        <v>560</v>
      </c>
      <c r="E19" s="2" t="s">
        <v>577</v>
      </c>
    </row>
    <row r="20" spans="1:11" ht="15" customHeight="1" x14ac:dyDescent="0.2">
      <c r="A20" s="2" t="s">
        <v>268</v>
      </c>
      <c r="B20" s="2" t="s">
        <v>56</v>
      </c>
      <c r="D20" s="2" t="s">
        <v>656</v>
      </c>
      <c r="E20" s="2" t="s">
        <v>717</v>
      </c>
      <c r="F20" s="1" t="s">
        <v>713</v>
      </c>
      <c r="K20" s="2"/>
    </row>
    <row r="21" spans="1:11" ht="15" customHeight="1" x14ac:dyDescent="0.2">
      <c r="A21" s="2" t="s">
        <v>557</v>
      </c>
      <c r="B21" s="2" t="s">
        <v>56</v>
      </c>
      <c r="D21" s="2" t="s">
        <v>561</v>
      </c>
      <c r="E21" s="2" t="s">
        <v>720</v>
      </c>
      <c r="F21" s="1" t="s">
        <v>582</v>
      </c>
      <c r="K21" s="2"/>
    </row>
    <row r="22" spans="1:11" ht="15" customHeight="1" x14ac:dyDescent="0.2">
      <c r="A22" s="2" t="s">
        <v>270</v>
      </c>
      <c r="B22" s="2" t="s">
        <v>56</v>
      </c>
      <c r="D22" s="2" t="s">
        <v>281</v>
      </c>
    </row>
    <row r="23" spans="1:11" ht="15" customHeight="1" x14ac:dyDescent="0.2">
      <c r="A23" s="2" t="s">
        <v>269</v>
      </c>
      <c r="B23" s="2" t="s">
        <v>56</v>
      </c>
      <c r="D23" s="2" t="s">
        <v>281</v>
      </c>
    </row>
    <row r="24" spans="1:11" ht="15" customHeight="1" x14ac:dyDescent="0.2">
      <c r="A24" s="2" t="s">
        <v>280</v>
      </c>
      <c r="B24" s="2" t="s">
        <v>80</v>
      </c>
      <c r="D24" s="9" t="s">
        <v>689</v>
      </c>
      <c r="E24" s="9"/>
    </row>
    <row r="25" spans="1:11" ht="15" customHeight="1" x14ac:dyDescent="0.2">
      <c r="A25" s="2" t="s">
        <v>477</v>
      </c>
      <c r="B25" s="2" t="s">
        <v>56</v>
      </c>
      <c r="D25" s="2" t="s">
        <v>624</v>
      </c>
      <c r="E25" s="2" t="s">
        <v>711</v>
      </c>
      <c r="F25" s="2" t="s">
        <v>579</v>
      </c>
    </row>
    <row r="26" spans="1:11" ht="15" customHeight="1" x14ac:dyDescent="0.2">
      <c r="A26" s="2" t="s">
        <v>679</v>
      </c>
      <c r="B26" s="2" t="s">
        <v>64</v>
      </c>
      <c r="D26" s="2" t="s">
        <v>65</v>
      </c>
      <c r="F26" s="2"/>
    </row>
    <row r="27" spans="1:11" ht="15" customHeight="1" x14ac:dyDescent="0.2">
      <c r="A27" s="2" t="s">
        <v>680</v>
      </c>
      <c r="B27" s="2" t="s">
        <v>56</v>
      </c>
      <c r="D27" s="2" t="s">
        <v>681</v>
      </c>
      <c r="F27" s="2"/>
    </row>
    <row r="28" spans="1:11" ht="15" customHeight="1" x14ac:dyDescent="0.2">
      <c r="A28" s="2" t="s">
        <v>682</v>
      </c>
      <c r="B28" s="2" t="s">
        <v>56</v>
      </c>
      <c r="D28" s="2" t="s">
        <v>670</v>
      </c>
      <c r="E28" s="35" t="s">
        <v>683</v>
      </c>
      <c r="F28" s="2"/>
    </row>
    <row r="29" spans="1:11" ht="15" customHeight="1" x14ac:dyDescent="0.2">
      <c r="A29" s="2" t="s">
        <v>488</v>
      </c>
      <c r="B29" s="2" t="s">
        <v>64</v>
      </c>
      <c r="D29" s="2" t="s">
        <v>65</v>
      </c>
      <c r="E29" s="2" t="s">
        <v>75</v>
      </c>
      <c r="F29" s="2"/>
    </row>
    <row r="30" spans="1:11" ht="15" customHeight="1" x14ac:dyDescent="0.2">
      <c r="A30" s="2" t="s">
        <v>483</v>
      </c>
      <c r="B30" s="2" t="s">
        <v>484</v>
      </c>
      <c r="C30" s="2" t="s">
        <v>478</v>
      </c>
      <c r="D30" s="2" t="s">
        <v>487</v>
      </c>
      <c r="F30" s="1" t="s">
        <v>485</v>
      </c>
    </row>
    <row r="31" spans="1:11" ht="15" customHeight="1" x14ac:dyDescent="0.2">
      <c r="A31" s="2" t="s">
        <v>480</v>
      </c>
      <c r="B31" s="2" t="s">
        <v>80</v>
      </c>
      <c r="C31" s="2" t="s">
        <v>478</v>
      </c>
      <c r="D31" s="9" t="s">
        <v>661</v>
      </c>
      <c r="F31" s="2" t="s">
        <v>512</v>
      </c>
    </row>
    <row r="32" spans="1:11" ht="15" customHeight="1" x14ac:dyDescent="0.2">
      <c r="A32" s="2" t="s">
        <v>567</v>
      </c>
      <c r="B32" s="2" t="s">
        <v>484</v>
      </c>
      <c r="C32" s="2" t="s">
        <v>478</v>
      </c>
      <c r="D32" s="9" t="s">
        <v>662</v>
      </c>
    </row>
    <row r="33" spans="1:13" ht="15" customHeight="1" x14ac:dyDescent="0.2">
      <c r="A33" s="2" t="s">
        <v>497</v>
      </c>
      <c r="B33" s="2" t="s">
        <v>80</v>
      </c>
      <c r="D33" s="9" t="s">
        <v>566</v>
      </c>
      <c r="E33" s="9" t="s">
        <v>512</v>
      </c>
      <c r="G33" s="9" t="s">
        <v>555</v>
      </c>
      <c r="H33" s="9" t="s">
        <v>564</v>
      </c>
      <c r="I33" s="9" t="s">
        <v>550</v>
      </c>
      <c r="J33" s="9" t="s">
        <v>638</v>
      </c>
    </row>
    <row r="34" spans="1:13" ht="15" customHeight="1" x14ac:dyDescent="0.2">
      <c r="A34" s="2" t="s">
        <v>601</v>
      </c>
      <c r="B34" s="2" t="s">
        <v>602</v>
      </c>
      <c r="D34" s="9" t="s">
        <v>673</v>
      </c>
      <c r="E34" s="9" t="s">
        <v>670</v>
      </c>
      <c r="F34" s="9" t="s">
        <v>610</v>
      </c>
      <c r="G34" s="9" t="s">
        <v>611</v>
      </c>
      <c r="H34" s="9" t="s">
        <v>613</v>
      </c>
      <c r="I34" s="9" t="s">
        <v>616</v>
      </c>
      <c r="J34" s="9" t="s">
        <v>617</v>
      </c>
      <c r="K34" s="9" t="s">
        <v>628</v>
      </c>
      <c r="L34" s="9" t="s">
        <v>625</v>
      </c>
      <c r="M34" s="9" t="s">
        <v>673</v>
      </c>
    </row>
    <row r="35" spans="1:13" ht="15" customHeight="1" x14ac:dyDescent="0.2">
      <c r="A35" s="2" t="s">
        <v>630</v>
      </c>
      <c r="B35" s="2" t="s">
        <v>80</v>
      </c>
      <c r="D35" s="9" t="s">
        <v>629</v>
      </c>
    </row>
    <row r="36" spans="1:13" ht="15" customHeight="1" x14ac:dyDescent="0.2">
      <c r="A36" s="2" t="s">
        <v>699</v>
      </c>
      <c r="B36" s="2" t="s">
        <v>56</v>
      </c>
      <c r="D36" s="2" t="s">
        <v>700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7F22-033A-9644-9214-79055E7AA2F8}">
  <sheetPr codeName="Sheet3"/>
  <dimension ref="A1:F16"/>
  <sheetViews>
    <sheetView tabSelected="1" workbookViewId="0">
      <selection activeCell="D3" sqref="D3"/>
    </sheetView>
  </sheetViews>
  <sheetFormatPr baseColWidth="10" defaultColWidth="8.83203125" defaultRowHeight="15" customHeight="1" x14ac:dyDescent="0.2"/>
  <cols>
    <col min="1" max="1" width="24.83203125" style="2" customWidth="1"/>
    <col min="2" max="3" width="13" style="2" customWidth="1"/>
    <col min="4" max="4" width="97.33203125" style="2" customWidth="1"/>
    <col min="5" max="5" width="8.83203125" style="2"/>
    <col min="6" max="16384" width="8.83203125" style="1"/>
  </cols>
  <sheetData>
    <row r="1" spans="1:6" ht="15" customHeight="1" x14ac:dyDescent="0.2">
      <c r="A1" s="8" t="s">
        <v>12</v>
      </c>
      <c r="B1" s="8" t="s">
        <v>11</v>
      </c>
      <c r="C1" s="8" t="s">
        <v>35</v>
      </c>
      <c r="D1" s="8" t="s">
        <v>10</v>
      </c>
      <c r="E1" s="8" t="s">
        <v>9</v>
      </c>
      <c r="F1" s="8" t="s">
        <v>8</v>
      </c>
    </row>
    <row r="2" spans="1:6" ht="15" customHeight="1" x14ac:dyDescent="0.2">
      <c r="A2" s="6" t="s">
        <v>7</v>
      </c>
      <c r="B2" s="6" t="s">
        <v>0</v>
      </c>
      <c r="C2" s="6"/>
      <c r="D2" s="6" t="s">
        <v>723</v>
      </c>
      <c r="E2"/>
      <c r="F2" s="7"/>
    </row>
    <row r="3" spans="1:6" ht="15" customHeight="1" x14ac:dyDescent="0.2">
      <c r="A3" s="6" t="s">
        <v>6</v>
      </c>
      <c r="B3" s="6" t="s">
        <v>0</v>
      </c>
      <c r="C3" s="6"/>
      <c r="D3" s="4" t="str">
        <f>D2&amp;"/data"</f>
        <v>/Users/asheth/Library/CloudStorage/OneDrive-iCapitalNetwork/GMAM/Git/emf_gmam_ae/data</v>
      </c>
      <c r="E3"/>
      <c r="F3" s="2"/>
    </row>
    <row r="4" spans="1:6" ht="15" customHeight="1" x14ac:dyDescent="0.2">
      <c r="A4" s="6" t="s">
        <v>5</v>
      </c>
      <c r="B4" s="6" t="s">
        <v>0</v>
      </c>
      <c r="C4" s="6"/>
      <c r="D4" s="4" t="str">
        <f>D$2&amp;"/working"</f>
        <v>/Users/asheth/Library/CloudStorage/OneDrive-iCapitalNetwork/GMAM/Git/emf_gmam_ae/working</v>
      </c>
      <c r="E4" s="5"/>
      <c r="F4" s="2"/>
    </row>
    <row r="5" spans="1:6" ht="15" customHeight="1" x14ac:dyDescent="0.2">
      <c r="A5" s="6" t="s">
        <v>4</v>
      </c>
      <c r="B5" s="6" t="s">
        <v>0</v>
      </c>
      <c r="C5" s="6"/>
      <c r="D5" s="4" t="str">
        <f>D$2&amp;"/output"</f>
        <v>/Users/asheth/Library/CloudStorage/OneDrive-iCapitalNetwork/GMAM/Git/emf_gmam_ae/output</v>
      </c>
      <c r="E5" s="5"/>
      <c r="F5" s="2"/>
    </row>
    <row r="6" spans="1:6" ht="15" customHeight="1" x14ac:dyDescent="0.2">
      <c r="A6" s="6" t="s">
        <v>3</v>
      </c>
      <c r="B6" s="6" t="s">
        <v>0</v>
      </c>
      <c r="C6" s="6"/>
      <c r="D6" s="4" t="str">
        <f>D$2&amp;"/test"</f>
        <v>/Users/asheth/Library/CloudStorage/OneDrive-iCapitalNetwork/GMAM/Git/emf_gmam_ae/test</v>
      </c>
      <c r="E6" s="5"/>
    </row>
    <row r="7" spans="1:6" ht="15" customHeight="1" x14ac:dyDescent="0.2">
      <c r="A7" s="2" t="s">
        <v>112</v>
      </c>
      <c r="B7" s="2" t="s">
        <v>0</v>
      </c>
      <c r="D7" s="4" t="str">
        <f>D4&amp;"/processed"</f>
        <v>/Users/asheth/Library/CloudStorage/OneDrive-iCapitalNetwork/GMAM/Git/emf_gmam_ae/working/processed</v>
      </c>
      <c r="E7" s="3"/>
      <c r="F7" s="2"/>
    </row>
    <row r="8" spans="1:6" ht="15" customHeight="1" x14ac:dyDescent="0.2">
      <c r="A8" s="2" t="s">
        <v>2</v>
      </c>
      <c r="B8" s="2" t="s">
        <v>0</v>
      </c>
      <c r="D8" s="4" t="str">
        <f>D5&amp;"/analysis"</f>
        <v>/Users/asheth/Library/CloudStorage/OneDrive-iCapitalNetwork/GMAM/Git/emf_gmam_ae/output/analysis</v>
      </c>
      <c r="E8" s="3"/>
      <c r="F8" s="2"/>
    </row>
    <row r="9" spans="1:6" ht="15" customHeight="1" x14ac:dyDescent="0.2">
      <c r="A9" s="2" t="s">
        <v>13</v>
      </c>
      <c r="B9" s="2" t="s">
        <v>0</v>
      </c>
      <c r="D9" s="4" t="str">
        <f>D$2&amp;"/docs/output"</f>
        <v>/Users/asheth/Library/CloudStorage/OneDrive-iCapitalNetwork/GMAM/Git/emf_gmam_ae/docs/output</v>
      </c>
      <c r="E9" s="3"/>
      <c r="F9" s="2"/>
    </row>
    <row r="10" spans="1:6" ht="15" customHeight="1" x14ac:dyDescent="0.2">
      <c r="A10" s="2" t="s">
        <v>14</v>
      </c>
      <c r="B10" s="2" t="s">
        <v>0</v>
      </c>
      <c r="D10" s="4" t="str">
        <f>D9&amp;"/analysis"</f>
        <v>/Users/asheth/Library/CloudStorage/OneDrive-iCapitalNetwork/GMAM/Git/emf_gmam_ae/docs/output/analysis</v>
      </c>
      <c r="E10" s="3"/>
      <c r="F10" s="2"/>
    </row>
    <row r="11" spans="1:6" ht="15" customHeight="1" x14ac:dyDescent="0.2">
      <c r="A11" s="2" t="s">
        <v>1</v>
      </c>
      <c r="B11" s="2" t="s">
        <v>0</v>
      </c>
      <c r="D11" s="4" t="str">
        <f>D5&amp;"/archivedanalysis"</f>
        <v>/Users/asheth/Library/CloudStorage/OneDrive-iCapitalNetwork/GMAM/Git/emf_gmam_ae/output/archivedanalysis</v>
      </c>
      <c r="E11" s="3"/>
      <c r="F11" s="2"/>
    </row>
    <row r="12" spans="1:6" ht="15" customHeight="1" x14ac:dyDescent="0.2">
      <c r="A12" s="2" t="s">
        <v>15</v>
      </c>
      <c r="B12" s="2" t="s">
        <v>17</v>
      </c>
      <c r="D12" s="2" t="s">
        <v>16</v>
      </c>
    </row>
    <row r="14" spans="1:6" ht="15" customHeight="1" x14ac:dyDescent="0.2">
      <c r="F14" s="2"/>
    </row>
    <row r="16" spans="1:6" ht="15" customHeight="1" x14ac:dyDescent="0.2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global</vt:lpstr>
      <vt:lpstr>cv</vt:lpstr>
      <vt:lpstr>live</vt:lpstr>
      <vt:lpstr>stoprules</vt:lpstr>
      <vt:lpstr>factors</vt:lpstr>
      <vt:lpstr>assets</vt:lpstr>
      <vt:lpstr>diagnostics</vt:lpstr>
      <vt:lpstr>io</vt:lpstr>
      <vt:lpstr>paths</vt:lpstr>
      <vt:lpstr>histpriors</vt:lpstr>
      <vt:lpstr>ref_histpriors_old</vt:lpstr>
      <vt:lpstr>testpriors</vt:lpstr>
      <vt:lpstr>testpriorsq</vt:lpstr>
      <vt:lpstr>testpriorsmf</vt:lpstr>
      <vt:lpstr>ref_priorcalcs</vt:lpstr>
      <vt:lpstr>simulate</vt:lpstr>
      <vt:lpstr>testpriorssim</vt:lpstr>
      <vt:lpstr>debug</vt:lpstr>
      <vt:lpstr>ref_preqinfundslist</vt:lpstr>
      <vt:lpstr>testpriorsGT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Arnav Sheth</cp:lastModifiedBy>
  <dcterms:created xsi:type="dcterms:W3CDTF">2022-08-19T21:40:38Z</dcterms:created>
  <dcterms:modified xsi:type="dcterms:W3CDTF">2023-07-20T20:43:51Z</dcterms:modified>
</cp:coreProperties>
</file>